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  <sheet xmlns:r="http://schemas.openxmlformats.org/officeDocument/2006/relationships" name="Rolling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Schedule" sheetId="4" state="visible" r:id="rId4"/>
    <sheet xmlns:r="http://schemas.openxmlformats.org/officeDocument/2006/relationships" name="Abou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d mmm d, yyyy"/>
    <numFmt numFmtId="166" formatCode="&quot;$&quot;#,##0;-&quot;$&quot;#,##0"/>
    <numFmt numFmtId="167" formatCode="0.0%"/>
    <numFmt numFmtId="168" formatCode="mmm d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8" fontId="0" fillId="0" borderId="0" pivotButton="0" quotePrefix="0" xfId="0"/>
    <xf numFmtId="166" fontId="0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6" fontId="3" fillId="0" borderId="0" pivotButton="0" quotePrefix="0" xfId="0"/>
    <xf numFmtId="166" fontId="3" fillId="0" borderId="0" applyAlignment="1" pivotButton="0" quotePrefix="0" xfId="0">
      <alignment horizontal="right"/>
    </xf>
    <xf numFmtId="1" fontId="3" fillId="0" borderId="0" applyAlignment="1" pivotButton="0" quotePrefix="0" xfId="0">
      <alignment horizontal="right"/>
    </xf>
    <xf numFmtId="1" fontId="4" fillId="3" borderId="0" pivotButton="0" quotePrefix="0" xfId="0"/>
    <xf numFmtId="1" fontId="3" fillId="0" borderId="0" pivotButton="0" quotePrefix="0" xfId="0"/>
    <xf numFmtId="0" fontId="3" fillId="4" borderId="0" applyAlignment="1" pivotButton="0" quotePrefix="0" xfId="0">
      <alignment vertical="bottom" wrapText="1"/>
    </xf>
    <xf numFmtId="166" fontId="4" fillId="3" borderId="0" pivotButton="0" quotePrefix="0" xfId="0"/>
    <xf numFmtId="165" fontId="4" fillId="3" borderId="0" pivotButton="0" quotePrefix="0" xfId="0"/>
    <xf numFmtId="167" fontId="4" fillId="3" borderId="0" pivotButton="0" quotePrefix="0" xfId="0"/>
    <xf numFmtId="9" fontId="4" fillId="3" borderId="0" pivotButton="0" quotePrefix="0" xfId="0"/>
    <xf numFmtId="0" fontId="4" fillId="3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13-Week Cash Flow Forecast</t>
        </is>
      </c>
    </row>
    <row r="2">
      <c r="A2" s="2" t="inlineStr">
        <is>
          <t>Inputs are on the Inputs sheet. Weeks run Monday to Sunday; each payment lands in the week of its date. Payroll taxes are paid in the pay-run week (simplification).</t>
        </is>
      </c>
    </row>
    <row r="4">
      <c r="A4" t="inlineStr">
        <is>
          <t>Week</t>
        </is>
      </c>
      <c r="B4" s="3" t="n">
        <v>1</v>
      </c>
      <c r="C4" s="3" t="n">
        <v>2</v>
      </c>
      <c r="D4" s="3" t="n">
        <v>3</v>
      </c>
      <c r="E4" s="3" t="n">
        <v>4</v>
      </c>
      <c r="F4" s="3" t="n">
        <v>5</v>
      </c>
      <c r="G4" s="3" t="n">
        <v>6</v>
      </c>
      <c r="H4" s="3" t="n">
        <v>7</v>
      </c>
      <c r="I4" s="3" t="n">
        <v>8</v>
      </c>
      <c r="J4" s="3" t="n">
        <v>9</v>
      </c>
      <c r="K4" s="3" t="n">
        <v>10</v>
      </c>
      <c r="L4" s="3" t="n">
        <v>11</v>
      </c>
      <c r="M4" s="3" t="n">
        <v>12</v>
      </c>
      <c r="N4" s="3" t="n">
        <v>13</v>
      </c>
      <c r="O4" s="3" t="inlineStr">
        <is>
          <t>13 weeks</t>
        </is>
      </c>
    </row>
    <row r="5">
      <c r="A5" t="inlineStr">
        <is>
          <t>Week starts</t>
        </is>
      </c>
      <c r="B5" s="4">
        <f>Inputs!$B$5+7*(B4-1)</f>
        <v/>
      </c>
      <c r="C5" s="4">
        <f>Inputs!$B$5+7*(C4-1)</f>
        <v/>
      </c>
      <c r="D5" s="4">
        <f>Inputs!$B$5+7*(D4-1)</f>
        <v/>
      </c>
      <c r="E5" s="4">
        <f>Inputs!$B$5+7*(E4-1)</f>
        <v/>
      </c>
      <c r="F5" s="4">
        <f>Inputs!$B$5+7*(F4-1)</f>
        <v/>
      </c>
      <c r="G5" s="4">
        <f>Inputs!$B$5+7*(G4-1)</f>
        <v/>
      </c>
      <c r="H5" s="4">
        <f>Inputs!$B$5+7*(H4-1)</f>
        <v/>
      </c>
      <c r="I5" s="4">
        <f>Inputs!$B$5+7*(I4-1)</f>
        <v/>
      </c>
      <c r="J5" s="4">
        <f>Inputs!$B$5+7*(J4-1)</f>
        <v/>
      </c>
      <c r="K5" s="4">
        <f>Inputs!$B$5+7*(K4-1)</f>
        <v/>
      </c>
      <c r="L5" s="4">
        <f>Inputs!$B$5+7*(L4-1)</f>
        <v/>
      </c>
      <c r="M5" s="4">
        <f>Inputs!$B$5+7*(M4-1)</f>
        <v/>
      </c>
      <c r="N5" s="4">
        <f>Inputs!$B$5+7*(N4-1)</f>
        <v/>
      </c>
    </row>
    <row r="6">
      <c r="A6" t="inlineStr">
        <is>
          <t>Week ends</t>
        </is>
      </c>
      <c r="B6" s="4">
        <f>B5+6</f>
        <v/>
      </c>
      <c r="C6" s="4">
        <f>C5+6</f>
        <v/>
      </c>
      <c r="D6" s="4">
        <f>D5+6</f>
        <v/>
      </c>
      <c r="E6" s="4">
        <f>E5+6</f>
        <v/>
      </c>
      <c r="F6" s="4">
        <f>F5+6</f>
        <v/>
      </c>
      <c r="G6" s="4">
        <f>G5+6</f>
        <v/>
      </c>
      <c r="H6" s="4">
        <f>H5+6</f>
        <v/>
      </c>
      <c r="I6" s="4">
        <f>I5+6</f>
        <v/>
      </c>
      <c r="J6" s="4">
        <f>J5+6</f>
        <v/>
      </c>
      <c r="K6" s="4">
        <f>K5+6</f>
        <v/>
      </c>
      <c r="L6" s="4">
        <f>L5+6</f>
        <v/>
      </c>
      <c r="M6" s="4">
        <f>M5+6</f>
        <v/>
      </c>
      <c r="N6" s="4">
        <f>N5+6</f>
        <v/>
      </c>
    </row>
    <row r="7">
      <c r="A7" s="3" t="inlineStr">
        <is>
          <t>Opening cash</t>
        </is>
      </c>
      <c r="B7" s="5">
        <f>Inputs!$B$6</f>
        <v/>
      </c>
      <c r="C7" s="5">
        <f>B23</f>
        <v/>
      </c>
      <c r="D7" s="5">
        <f>C23</f>
        <v/>
      </c>
      <c r="E7" s="5">
        <f>D23</f>
        <v/>
      </c>
      <c r="F7" s="5">
        <f>E23</f>
        <v/>
      </c>
      <c r="G7" s="5">
        <f>F23</f>
        <v/>
      </c>
      <c r="H7" s="5">
        <f>G23</f>
        <v/>
      </c>
      <c r="I7" s="5">
        <f>H23</f>
        <v/>
      </c>
      <c r="J7" s="5">
        <f>I23</f>
        <v/>
      </c>
      <c r="K7" s="5">
        <f>J23</f>
        <v/>
      </c>
      <c r="L7" s="5">
        <f>K23</f>
        <v/>
      </c>
      <c r="M7" s="5">
        <f>L23</f>
        <v/>
      </c>
      <c r="N7" s="5">
        <f>M23</f>
        <v/>
      </c>
      <c r="O7" s="5">
        <f>Inputs!$B$6</f>
        <v/>
      </c>
    </row>
    <row r="8">
      <c r="A8" s="6" t="inlineStr">
        <is>
          <t>Receipts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</row>
    <row r="9">
      <c r="A9" t="inlineStr">
        <is>
          <t>Subscriptions paid by card</t>
        </is>
      </c>
      <c r="B9" s="5">
        <f>SUMIFS(Schedule!$F$5:$F$17,Schedule!$E$5:$E$17,"&gt;="&amp;B$5,Schedule!$E$5:$E$17,"&lt;="&amp;B$6)</f>
        <v/>
      </c>
      <c r="C9" s="5">
        <f>SUMIFS(Schedule!$F$5:$F$17,Schedule!$E$5:$E$17,"&gt;="&amp;C$5,Schedule!$E$5:$E$17,"&lt;="&amp;C$6)</f>
        <v/>
      </c>
      <c r="D9" s="5">
        <f>SUMIFS(Schedule!$F$5:$F$17,Schedule!$E$5:$E$17,"&gt;="&amp;D$5,Schedule!$E$5:$E$17,"&lt;="&amp;D$6)</f>
        <v/>
      </c>
      <c r="E9" s="5">
        <f>SUMIFS(Schedule!$F$5:$F$17,Schedule!$E$5:$E$17,"&gt;="&amp;E$5,Schedule!$E$5:$E$17,"&lt;="&amp;E$6)</f>
        <v/>
      </c>
      <c r="F9" s="5">
        <f>SUMIFS(Schedule!$F$5:$F$17,Schedule!$E$5:$E$17,"&gt;="&amp;F$5,Schedule!$E$5:$E$17,"&lt;="&amp;F$6)</f>
        <v/>
      </c>
      <c r="G9" s="5">
        <f>SUMIFS(Schedule!$F$5:$F$17,Schedule!$E$5:$E$17,"&gt;="&amp;G$5,Schedule!$E$5:$E$17,"&lt;="&amp;G$6)</f>
        <v/>
      </c>
      <c r="H9" s="5">
        <f>SUMIFS(Schedule!$F$5:$F$17,Schedule!$E$5:$E$17,"&gt;="&amp;H$5,Schedule!$E$5:$E$17,"&lt;="&amp;H$6)</f>
        <v/>
      </c>
      <c r="I9" s="5">
        <f>SUMIFS(Schedule!$F$5:$F$17,Schedule!$E$5:$E$17,"&gt;="&amp;I$5,Schedule!$E$5:$E$17,"&lt;="&amp;I$6)</f>
        <v/>
      </c>
      <c r="J9" s="5">
        <f>SUMIFS(Schedule!$F$5:$F$17,Schedule!$E$5:$E$17,"&gt;="&amp;J$5,Schedule!$E$5:$E$17,"&lt;="&amp;J$6)</f>
        <v/>
      </c>
      <c r="K9" s="5">
        <f>SUMIFS(Schedule!$F$5:$F$17,Schedule!$E$5:$E$17,"&gt;="&amp;K$5,Schedule!$E$5:$E$17,"&lt;="&amp;K$6)</f>
        <v/>
      </c>
      <c r="L9" s="5">
        <f>SUMIFS(Schedule!$F$5:$F$17,Schedule!$E$5:$E$17,"&gt;="&amp;L$5,Schedule!$E$5:$E$17,"&lt;="&amp;L$6)</f>
        <v/>
      </c>
      <c r="M9" s="5">
        <f>SUMIFS(Schedule!$F$5:$F$17,Schedule!$E$5:$E$17,"&gt;="&amp;M$5,Schedule!$E$5:$E$17,"&lt;="&amp;M$6)</f>
        <v/>
      </c>
      <c r="N9" s="5">
        <f>SUMIFS(Schedule!$F$5:$F$17,Schedule!$E$5:$E$17,"&gt;="&amp;N$5,Schedule!$E$5:$E$17,"&lt;="&amp;N$6)</f>
        <v/>
      </c>
      <c r="O9" s="8">
        <f>SUM(B9:N9)</f>
        <v/>
      </c>
    </row>
    <row r="10">
      <c r="A10" t="inlineStr">
        <is>
          <t>Subscriptions paid on invoice</t>
        </is>
      </c>
      <c r="B10" s="5">
        <f>SUMIFS(Schedule!$H$5:$H$17,Schedule!$G$5:$G$17,"&gt;="&amp;B$5,Schedule!$G$5:$G$17,"&lt;="&amp;B$6)</f>
        <v/>
      </c>
      <c r="C10" s="5">
        <f>SUMIFS(Schedule!$H$5:$H$17,Schedule!$G$5:$G$17,"&gt;="&amp;C$5,Schedule!$G$5:$G$17,"&lt;="&amp;C$6)</f>
        <v/>
      </c>
      <c r="D10" s="5">
        <f>SUMIFS(Schedule!$H$5:$H$17,Schedule!$G$5:$G$17,"&gt;="&amp;D$5,Schedule!$G$5:$G$17,"&lt;="&amp;D$6)</f>
        <v/>
      </c>
      <c r="E10" s="5">
        <f>SUMIFS(Schedule!$H$5:$H$17,Schedule!$G$5:$G$17,"&gt;="&amp;E$5,Schedule!$G$5:$G$17,"&lt;="&amp;E$6)</f>
        <v/>
      </c>
      <c r="F10" s="5">
        <f>SUMIFS(Schedule!$H$5:$H$17,Schedule!$G$5:$G$17,"&gt;="&amp;F$5,Schedule!$G$5:$G$17,"&lt;="&amp;F$6)</f>
        <v/>
      </c>
      <c r="G10" s="5">
        <f>SUMIFS(Schedule!$H$5:$H$17,Schedule!$G$5:$G$17,"&gt;="&amp;G$5,Schedule!$G$5:$G$17,"&lt;="&amp;G$6)</f>
        <v/>
      </c>
      <c r="H10" s="5">
        <f>SUMIFS(Schedule!$H$5:$H$17,Schedule!$G$5:$G$17,"&gt;="&amp;H$5,Schedule!$G$5:$G$17,"&lt;="&amp;H$6)</f>
        <v/>
      </c>
      <c r="I10" s="5">
        <f>SUMIFS(Schedule!$H$5:$H$17,Schedule!$G$5:$G$17,"&gt;="&amp;I$5,Schedule!$G$5:$G$17,"&lt;="&amp;I$6)</f>
        <v/>
      </c>
      <c r="J10" s="5">
        <f>SUMIFS(Schedule!$H$5:$H$17,Schedule!$G$5:$G$17,"&gt;="&amp;J$5,Schedule!$G$5:$G$17,"&lt;="&amp;J$6)</f>
        <v/>
      </c>
      <c r="K10" s="5">
        <f>SUMIFS(Schedule!$H$5:$H$17,Schedule!$G$5:$G$17,"&gt;="&amp;K$5,Schedule!$G$5:$G$17,"&lt;="&amp;K$6)</f>
        <v/>
      </c>
      <c r="L10" s="5">
        <f>SUMIFS(Schedule!$H$5:$H$17,Schedule!$G$5:$G$17,"&gt;="&amp;L$5,Schedule!$G$5:$G$17,"&lt;="&amp;L$6)</f>
        <v/>
      </c>
      <c r="M10" s="5">
        <f>SUMIFS(Schedule!$H$5:$H$17,Schedule!$G$5:$G$17,"&gt;="&amp;M$5,Schedule!$G$5:$G$17,"&lt;="&amp;M$6)</f>
        <v/>
      </c>
      <c r="N10" s="5">
        <f>SUMIFS(Schedule!$H$5:$H$17,Schedule!$G$5:$G$17,"&gt;="&amp;N$5,Schedule!$G$5:$G$17,"&lt;="&amp;N$6)</f>
        <v/>
      </c>
      <c r="O10" s="8">
        <f>SUM(B10:N10)</f>
        <v/>
      </c>
    </row>
    <row r="11">
      <c r="A11" t="inlineStr">
        <is>
          <t>Annual invoices</t>
        </is>
      </c>
      <c r="B11" s="5">
        <f>SUMIFS(Inputs!$B$24:$B$31,Inputs!$E$24:$E$31,"&gt;="&amp;B$5,Inputs!$E$24:$E$31,"&lt;="&amp;B$6)</f>
        <v/>
      </c>
      <c r="C11" s="5">
        <f>SUMIFS(Inputs!$B$24:$B$31,Inputs!$E$24:$E$31,"&gt;="&amp;C$5,Inputs!$E$24:$E$31,"&lt;="&amp;C$6)</f>
        <v/>
      </c>
      <c r="D11" s="5">
        <f>SUMIFS(Inputs!$B$24:$B$31,Inputs!$E$24:$E$31,"&gt;="&amp;D$5,Inputs!$E$24:$E$31,"&lt;="&amp;D$6)</f>
        <v/>
      </c>
      <c r="E11" s="5">
        <f>SUMIFS(Inputs!$B$24:$B$31,Inputs!$E$24:$E$31,"&gt;="&amp;E$5,Inputs!$E$24:$E$31,"&lt;="&amp;E$6)</f>
        <v/>
      </c>
      <c r="F11" s="5">
        <f>SUMIFS(Inputs!$B$24:$B$31,Inputs!$E$24:$E$31,"&gt;="&amp;F$5,Inputs!$E$24:$E$31,"&lt;="&amp;F$6)</f>
        <v/>
      </c>
      <c r="G11" s="5">
        <f>SUMIFS(Inputs!$B$24:$B$31,Inputs!$E$24:$E$31,"&gt;="&amp;G$5,Inputs!$E$24:$E$31,"&lt;="&amp;G$6)</f>
        <v/>
      </c>
      <c r="H11" s="5">
        <f>SUMIFS(Inputs!$B$24:$B$31,Inputs!$E$24:$E$31,"&gt;="&amp;H$5,Inputs!$E$24:$E$31,"&lt;="&amp;H$6)</f>
        <v/>
      </c>
      <c r="I11" s="5">
        <f>SUMIFS(Inputs!$B$24:$B$31,Inputs!$E$24:$E$31,"&gt;="&amp;I$5,Inputs!$E$24:$E$31,"&lt;="&amp;I$6)</f>
        <v/>
      </c>
      <c r="J11" s="5">
        <f>SUMIFS(Inputs!$B$24:$B$31,Inputs!$E$24:$E$31,"&gt;="&amp;J$5,Inputs!$E$24:$E$31,"&lt;="&amp;J$6)</f>
        <v/>
      </c>
      <c r="K11" s="5">
        <f>SUMIFS(Inputs!$B$24:$B$31,Inputs!$E$24:$E$31,"&gt;="&amp;K$5,Inputs!$E$24:$E$31,"&lt;="&amp;K$6)</f>
        <v/>
      </c>
      <c r="L11" s="5">
        <f>SUMIFS(Inputs!$B$24:$B$31,Inputs!$E$24:$E$31,"&gt;="&amp;L$5,Inputs!$E$24:$E$31,"&lt;="&amp;L$6)</f>
        <v/>
      </c>
      <c r="M11" s="5">
        <f>SUMIFS(Inputs!$B$24:$B$31,Inputs!$E$24:$E$31,"&gt;="&amp;M$5,Inputs!$E$24:$E$31,"&lt;="&amp;M$6)</f>
        <v/>
      </c>
      <c r="N11" s="5">
        <f>SUMIFS(Inputs!$B$24:$B$31,Inputs!$E$24:$E$31,"&gt;="&amp;N$5,Inputs!$E$24:$E$31,"&lt;="&amp;N$6)</f>
        <v/>
      </c>
      <c r="O11" s="8">
        <f>SUM(B11:N11)</f>
        <v/>
      </c>
    </row>
    <row r="12">
      <c r="A12" t="inlineStr">
        <is>
          <t>Other receipts</t>
        </is>
      </c>
      <c r="B12" s="5">
        <f>SUMIF(Inputs!$C$35:$C$40,B$4,Inputs!$B$35:$B$40)</f>
        <v/>
      </c>
      <c r="C12" s="5">
        <f>SUMIF(Inputs!$C$35:$C$40,C$4,Inputs!$B$35:$B$40)</f>
        <v/>
      </c>
      <c r="D12" s="5">
        <f>SUMIF(Inputs!$C$35:$C$40,D$4,Inputs!$B$35:$B$40)</f>
        <v/>
      </c>
      <c r="E12" s="5">
        <f>SUMIF(Inputs!$C$35:$C$40,E$4,Inputs!$B$35:$B$40)</f>
        <v/>
      </c>
      <c r="F12" s="5">
        <f>SUMIF(Inputs!$C$35:$C$40,F$4,Inputs!$B$35:$B$40)</f>
        <v/>
      </c>
      <c r="G12" s="5">
        <f>SUMIF(Inputs!$C$35:$C$40,G$4,Inputs!$B$35:$B$40)</f>
        <v/>
      </c>
      <c r="H12" s="5">
        <f>SUMIF(Inputs!$C$35:$C$40,H$4,Inputs!$B$35:$B$40)</f>
        <v/>
      </c>
      <c r="I12" s="5">
        <f>SUMIF(Inputs!$C$35:$C$40,I$4,Inputs!$B$35:$B$40)</f>
        <v/>
      </c>
      <c r="J12" s="5">
        <f>SUMIF(Inputs!$C$35:$C$40,J$4,Inputs!$B$35:$B$40)</f>
        <v/>
      </c>
      <c r="K12" s="5">
        <f>SUMIF(Inputs!$C$35:$C$40,K$4,Inputs!$B$35:$B$40)</f>
        <v/>
      </c>
      <c r="L12" s="5">
        <f>SUMIF(Inputs!$C$35:$C$40,L$4,Inputs!$B$35:$B$40)</f>
        <v/>
      </c>
      <c r="M12" s="5">
        <f>SUMIF(Inputs!$C$35:$C$40,M$4,Inputs!$B$35:$B$40)</f>
        <v/>
      </c>
      <c r="N12" s="5">
        <f>SUMIF(Inputs!$C$35:$C$40,N$4,Inputs!$B$35:$B$40)</f>
        <v/>
      </c>
      <c r="O12" s="8">
        <f>SUM(B12:N12)</f>
        <v/>
      </c>
    </row>
    <row r="13">
      <c r="A13" s="3" t="inlineStr">
        <is>
          <t>Total receipts</t>
        </is>
      </c>
      <c r="B13" s="5">
        <f>SUM(B9:B12)</f>
        <v/>
      </c>
      <c r="C13" s="5">
        <f>SUM(C9:C12)</f>
        <v/>
      </c>
      <c r="D13" s="5">
        <f>SUM(D9:D12)</f>
        <v/>
      </c>
      <c r="E13" s="5">
        <f>SUM(E9:E12)</f>
        <v/>
      </c>
      <c r="F13" s="5">
        <f>SUM(F9:F12)</f>
        <v/>
      </c>
      <c r="G13" s="5">
        <f>SUM(G9:G12)</f>
        <v/>
      </c>
      <c r="H13" s="5">
        <f>SUM(H9:H12)</f>
        <v/>
      </c>
      <c r="I13" s="5">
        <f>SUM(I9:I12)</f>
        <v/>
      </c>
      <c r="J13" s="5">
        <f>SUM(J9:J12)</f>
        <v/>
      </c>
      <c r="K13" s="5">
        <f>SUM(K9:K12)</f>
        <v/>
      </c>
      <c r="L13" s="5">
        <f>SUM(L9:L12)</f>
        <v/>
      </c>
      <c r="M13" s="5">
        <f>SUM(M9:M12)</f>
        <v/>
      </c>
      <c r="N13" s="5">
        <f>SUM(N9:N12)</f>
        <v/>
      </c>
      <c r="O13" s="8">
        <f>SUM(B13:N13)</f>
        <v/>
      </c>
    </row>
    <row r="14">
      <c r="A14" s="6" t="inlineStr">
        <is>
          <t>Disbursements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</row>
    <row r="15">
      <c r="A15" t="inlineStr">
        <is>
          <t>Payroll and payroll taxes</t>
        </is>
      </c>
      <c r="B15" s="5">
        <f>SUMIFS(Schedule!$K$5:$K$17,Schedule!$J$5:$J$17,"&gt;="&amp;B$5,Schedule!$J$5:$J$17,"&lt;="&amp;B$6)+SUMIFS(Schedule!$M$5:$M$17,Schedule!$L$5:$L$17,"&gt;="&amp;B$5,Schedule!$L$5:$L$17,"&lt;="&amp;B$6)+SUMIFS(Schedule!$S$5:$S$17,Schedule!$R$5:$R$17,"&gt;="&amp;B$5,Schedule!$R$5:$R$17,"&lt;="&amp;B$6)</f>
        <v/>
      </c>
      <c r="C15" s="5">
        <f>SUMIFS(Schedule!$K$5:$K$17,Schedule!$J$5:$J$17,"&gt;="&amp;C$5,Schedule!$J$5:$J$17,"&lt;="&amp;C$6)+SUMIFS(Schedule!$M$5:$M$17,Schedule!$L$5:$L$17,"&gt;="&amp;C$5,Schedule!$L$5:$L$17,"&lt;="&amp;C$6)+SUMIFS(Schedule!$S$5:$S$17,Schedule!$R$5:$R$17,"&gt;="&amp;C$5,Schedule!$R$5:$R$17,"&lt;="&amp;C$6)</f>
        <v/>
      </c>
      <c r="D15" s="5">
        <f>SUMIFS(Schedule!$K$5:$K$17,Schedule!$J$5:$J$17,"&gt;="&amp;D$5,Schedule!$J$5:$J$17,"&lt;="&amp;D$6)+SUMIFS(Schedule!$M$5:$M$17,Schedule!$L$5:$L$17,"&gt;="&amp;D$5,Schedule!$L$5:$L$17,"&lt;="&amp;D$6)+SUMIFS(Schedule!$S$5:$S$17,Schedule!$R$5:$R$17,"&gt;="&amp;D$5,Schedule!$R$5:$R$17,"&lt;="&amp;D$6)</f>
        <v/>
      </c>
      <c r="E15" s="5">
        <f>SUMIFS(Schedule!$K$5:$K$17,Schedule!$J$5:$J$17,"&gt;="&amp;E$5,Schedule!$J$5:$J$17,"&lt;="&amp;E$6)+SUMIFS(Schedule!$M$5:$M$17,Schedule!$L$5:$L$17,"&gt;="&amp;E$5,Schedule!$L$5:$L$17,"&lt;="&amp;E$6)+SUMIFS(Schedule!$S$5:$S$17,Schedule!$R$5:$R$17,"&gt;="&amp;E$5,Schedule!$R$5:$R$17,"&lt;="&amp;E$6)</f>
        <v/>
      </c>
      <c r="F15" s="5">
        <f>SUMIFS(Schedule!$K$5:$K$17,Schedule!$J$5:$J$17,"&gt;="&amp;F$5,Schedule!$J$5:$J$17,"&lt;="&amp;F$6)+SUMIFS(Schedule!$M$5:$M$17,Schedule!$L$5:$L$17,"&gt;="&amp;F$5,Schedule!$L$5:$L$17,"&lt;="&amp;F$6)+SUMIFS(Schedule!$S$5:$S$17,Schedule!$R$5:$R$17,"&gt;="&amp;F$5,Schedule!$R$5:$R$17,"&lt;="&amp;F$6)</f>
        <v/>
      </c>
      <c r="G15" s="5">
        <f>SUMIFS(Schedule!$K$5:$K$17,Schedule!$J$5:$J$17,"&gt;="&amp;G$5,Schedule!$J$5:$J$17,"&lt;="&amp;G$6)+SUMIFS(Schedule!$M$5:$M$17,Schedule!$L$5:$L$17,"&gt;="&amp;G$5,Schedule!$L$5:$L$17,"&lt;="&amp;G$6)+SUMIFS(Schedule!$S$5:$S$17,Schedule!$R$5:$R$17,"&gt;="&amp;G$5,Schedule!$R$5:$R$17,"&lt;="&amp;G$6)</f>
        <v/>
      </c>
      <c r="H15" s="5">
        <f>SUMIFS(Schedule!$K$5:$K$17,Schedule!$J$5:$J$17,"&gt;="&amp;H$5,Schedule!$J$5:$J$17,"&lt;="&amp;H$6)+SUMIFS(Schedule!$M$5:$M$17,Schedule!$L$5:$L$17,"&gt;="&amp;H$5,Schedule!$L$5:$L$17,"&lt;="&amp;H$6)+SUMIFS(Schedule!$S$5:$S$17,Schedule!$R$5:$R$17,"&gt;="&amp;H$5,Schedule!$R$5:$R$17,"&lt;="&amp;H$6)</f>
        <v/>
      </c>
      <c r="I15" s="5">
        <f>SUMIFS(Schedule!$K$5:$K$17,Schedule!$J$5:$J$17,"&gt;="&amp;I$5,Schedule!$J$5:$J$17,"&lt;="&amp;I$6)+SUMIFS(Schedule!$M$5:$M$17,Schedule!$L$5:$L$17,"&gt;="&amp;I$5,Schedule!$L$5:$L$17,"&lt;="&amp;I$6)+SUMIFS(Schedule!$S$5:$S$17,Schedule!$R$5:$R$17,"&gt;="&amp;I$5,Schedule!$R$5:$R$17,"&lt;="&amp;I$6)</f>
        <v/>
      </c>
      <c r="J15" s="5">
        <f>SUMIFS(Schedule!$K$5:$K$17,Schedule!$J$5:$J$17,"&gt;="&amp;J$5,Schedule!$J$5:$J$17,"&lt;="&amp;J$6)+SUMIFS(Schedule!$M$5:$M$17,Schedule!$L$5:$L$17,"&gt;="&amp;J$5,Schedule!$L$5:$L$17,"&lt;="&amp;J$6)+SUMIFS(Schedule!$S$5:$S$17,Schedule!$R$5:$R$17,"&gt;="&amp;J$5,Schedule!$R$5:$R$17,"&lt;="&amp;J$6)</f>
        <v/>
      </c>
      <c r="K15" s="5">
        <f>SUMIFS(Schedule!$K$5:$K$17,Schedule!$J$5:$J$17,"&gt;="&amp;K$5,Schedule!$J$5:$J$17,"&lt;="&amp;K$6)+SUMIFS(Schedule!$M$5:$M$17,Schedule!$L$5:$L$17,"&gt;="&amp;K$5,Schedule!$L$5:$L$17,"&lt;="&amp;K$6)+SUMIFS(Schedule!$S$5:$S$17,Schedule!$R$5:$R$17,"&gt;="&amp;K$5,Schedule!$R$5:$R$17,"&lt;="&amp;K$6)</f>
        <v/>
      </c>
      <c r="L15" s="5">
        <f>SUMIFS(Schedule!$K$5:$K$17,Schedule!$J$5:$J$17,"&gt;="&amp;L$5,Schedule!$J$5:$J$17,"&lt;="&amp;L$6)+SUMIFS(Schedule!$M$5:$M$17,Schedule!$L$5:$L$17,"&gt;="&amp;L$5,Schedule!$L$5:$L$17,"&lt;="&amp;L$6)+SUMIFS(Schedule!$S$5:$S$17,Schedule!$R$5:$R$17,"&gt;="&amp;L$5,Schedule!$R$5:$R$17,"&lt;="&amp;L$6)</f>
        <v/>
      </c>
      <c r="M15" s="5">
        <f>SUMIFS(Schedule!$K$5:$K$17,Schedule!$J$5:$J$17,"&gt;="&amp;M$5,Schedule!$J$5:$J$17,"&lt;="&amp;M$6)+SUMIFS(Schedule!$M$5:$M$17,Schedule!$L$5:$L$17,"&gt;="&amp;M$5,Schedule!$L$5:$L$17,"&lt;="&amp;M$6)+SUMIFS(Schedule!$S$5:$S$17,Schedule!$R$5:$R$17,"&gt;="&amp;M$5,Schedule!$R$5:$R$17,"&lt;="&amp;M$6)</f>
        <v/>
      </c>
      <c r="N15" s="5">
        <f>SUMIFS(Schedule!$K$5:$K$17,Schedule!$J$5:$J$17,"&gt;="&amp;N$5,Schedule!$J$5:$J$17,"&lt;="&amp;N$6)+SUMIFS(Schedule!$M$5:$M$17,Schedule!$L$5:$L$17,"&gt;="&amp;N$5,Schedule!$L$5:$L$17,"&lt;="&amp;N$6)+SUMIFS(Schedule!$S$5:$S$17,Schedule!$R$5:$R$17,"&gt;="&amp;N$5,Schedule!$R$5:$R$17,"&lt;="&amp;N$6)</f>
        <v/>
      </c>
      <c r="O15" s="8">
        <f>SUM(B15:N15)</f>
        <v/>
      </c>
    </row>
    <row r="16">
      <c r="A16" t="inlineStr">
        <is>
          <t>Rent</t>
        </is>
      </c>
      <c r="B16" s="5">
        <f>SUMIFS(Schedule!$O$5:$O$17,Schedule!$N$5:$N$17,"&gt;="&amp;B$5,Schedule!$N$5:$N$17,"&lt;="&amp;B$6)</f>
        <v/>
      </c>
      <c r="C16" s="5">
        <f>SUMIFS(Schedule!$O$5:$O$17,Schedule!$N$5:$N$17,"&gt;="&amp;C$5,Schedule!$N$5:$N$17,"&lt;="&amp;C$6)</f>
        <v/>
      </c>
      <c r="D16" s="5">
        <f>SUMIFS(Schedule!$O$5:$O$17,Schedule!$N$5:$N$17,"&gt;="&amp;D$5,Schedule!$N$5:$N$17,"&lt;="&amp;D$6)</f>
        <v/>
      </c>
      <c r="E16" s="5">
        <f>SUMIFS(Schedule!$O$5:$O$17,Schedule!$N$5:$N$17,"&gt;="&amp;E$5,Schedule!$N$5:$N$17,"&lt;="&amp;E$6)</f>
        <v/>
      </c>
      <c r="F16" s="5">
        <f>SUMIFS(Schedule!$O$5:$O$17,Schedule!$N$5:$N$17,"&gt;="&amp;F$5,Schedule!$N$5:$N$17,"&lt;="&amp;F$6)</f>
        <v/>
      </c>
      <c r="G16" s="5">
        <f>SUMIFS(Schedule!$O$5:$O$17,Schedule!$N$5:$N$17,"&gt;="&amp;G$5,Schedule!$N$5:$N$17,"&lt;="&amp;G$6)</f>
        <v/>
      </c>
      <c r="H16" s="5">
        <f>SUMIFS(Schedule!$O$5:$O$17,Schedule!$N$5:$N$17,"&gt;="&amp;H$5,Schedule!$N$5:$N$17,"&lt;="&amp;H$6)</f>
        <v/>
      </c>
      <c r="I16" s="5">
        <f>SUMIFS(Schedule!$O$5:$O$17,Schedule!$N$5:$N$17,"&gt;="&amp;I$5,Schedule!$N$5:$N$17,"&lt;="&amp;I$6)</f>
        <v/>
      </c>
      <c r="J16" s="5">
        <f>SUMIFS(Schedule!$O$5:$O$17,Schedule!$N$5:$N$17,"&gt;="&amp;J$5,Schedule!$N$5:$N$17,"&lt;="&amp;J$6)</f>
        <v/>
      </c>
      <c r="K16" s="5">
        <f>SUMIFS(Schedule!$O$5:$O$17,Schedule!$N$5:$N$17,"&gt;="&amp;K$5,Schedule!$N$5:$N$17,"&lt;="&amp;K$6)</f>
        <v/>
      </c>
      <c r="L16" s="5">
        <f>SUMIFS(Schedule!$O$5:$O$17,Schedule!$N$5:$N$17,"&gt;="&amp;L$5,Schedule!$N$5:$N$17,"&lt;="&amp;L$6)</f>
        <v/>
      </c>
      <c r="M16" s="5">
        <f>SUMIFS(Schedule!$O$5:$O$17,Schedule!$N$5:$N$17,"&gt;="&amp;M$5,Schedule!$N$5:$N$17,"&lt;="&amp;M$6)</f>
        <v/>
      </c>
      <c r="N16" s="5">
        <f>SUMIFS(Schedule!$O$5:$O$17,Schedule!$N$5:$N$17,"&gt;="&amp;N$5,Schedule!$N$5:$N$17,"&lt;="&amp;N$6)</f>
        <v/>
      </c>
      <c r="O16" s="8">
        <f>SUM(B16:N16)</f>
        <v/>
      </c>
    </row>
    <row r="17">
      <c r="A17" t="inlineStr">
        <is>
          <t>Software</t>
        </is>
      </c>
      <c r="B17" s="5">
        <f>SUMIFS(Schedule!$V$5:$V$17,Schedule!$U$5:$U$17,"&gt;="&amp;B$5,Schedule!$U$5:$U$17,"&lt;="&amp;B$6)</f>
        <v/>
      </c>
      <c r="C17" s="5">
        <f>SUMIFS(Schedule!$V$5:$V$17,Schedule!$U$5:$U$17,"&gt;="&amp;C$5,Schedule!$U$5:$U$17,"&lt;="&amp;C$6)</f>
        <v/>
      </c>
      <c r="D17" s="5">
        <f>SUMIFS(Schedule!$V$5:$V$17,Schedule!$U$5:$U$17,"&gt;="&amp;D$5,Schedule!$U$5:$U$17,"&lt;="&amp;D$6)</f>
        <v/>
      </c>
      <c r="E17" s="5">
        <f>SUMIFS(Schedule!$V$5:$V$17,Schedule!$U$5:$U$17,"&gt;="&amp;E$5,Schedule!$U$5:$U$17,"&lt;="&amp;E$6)</f>
        <v/>
      </c>
      <c r="F17" s="5">
        <f>SUMIFS(Schedule!$V$5:$V$17,Schedule!$U$5:$U$17,"&gt;="&amp;F$5,Schedule!$U$5:$U$17,"&lt;="&amp;F$6)</f>
        <v/>
      </c>
      <c r="G17" s="5">
        <f>SUMIFS(Schedule!$V$5:$V$17,Schedule!$U$5:$U$17,"&gt;="&amp;G$5,Schedule!$U$5:$U$17,"&lt;="&amp;G$6)</f>
        <v/>
      </c>
      <c r="H17" s="5">
        <f>SUMIFS(Schedule!$V$5:$V$17,Schedule!$U$5:$U$17,"&gt;="&amp;H$5,Schedule!$U$5:$U$17,"&lt;="&amp;H$6)</f>
        <v/>
      </c>
      <c r="I17" s="5">
        <f>SUMIFS(Schedule!$V$5:$V$17,Schedule!$U$5:$U$17,"&gt;="&amp;I$5,Schedule!$U$5:$U$17,"&lt;="&amp;I$6)</f>
        <v/>
      </c>
      <c r="J17" s="5">
        <f>SUMIFS(Schedule!$V$5:$V$17,Schedule!$U$5:$U$17,"&gt;="&amp;J$5,Schedule!$U$5:$U$17,"&lt;="&amp;J$6)</f>
        <v/>
      </c>
      <c r="K17" s="5">
        <f>SUMIFS(Schedule!$V$5:$V$17,Schedule!$U$5:$U$17,"&gt;="&amp;K$5,Schedule!$U$5:$U$17,"&lt;="&amp;K$6)</f>
        <v/>
      </c>
      <c r="L17" s="5">
        <f>SUMIFS(Schedule!$V$5:$V$17,Schedule!$U$5:$U$17,"&gt;="&amp;L$5,Schedule!$U$5:$U$17,"&lt;="&amp;L$6)</f>
        <v/>
      </c>
      <c r="M17" s="5">
        <f>SUMIFS(Schedule!$V$5:$V$17,Schedule!$U$5:$U$17,"&gt;="&amp;M$5,Schedule!$U$5:$U$17,"&lt;="&amp;M$6)</f>
        <v/>
      </c>
      <c r="N17" s="5">
        <f>SUMIFS(Schedule!$V$5:$V$17,Schedule!$U$5:$U$17,"&gt;="&amp;N$5,Schedule!$U$5:$U$17,"&lt;="&amp;N$6)</f>
        <v/>
      </c>
      <c r="O17" s="8">
        <f>SUM(B17:N17)</f>
        <v/>
      </c>
    </row>
    <row r="18">
      <c r="A18" t="inlineStr">
        <is>
          <t>Vendor payables</t>
        </is>
      </c>
      <c r="B18" s="5">
        <f>SUMIF(Inputs!$C$44:$C$55,B$4,Inputs!$B$44:$B$55)</f>
        <v/>
      </c>
      <c r="C18" s="5">
        <f>SUMIF(Inputs!$C$44:$C$55,C$4,Inputs!$B$44:$B$55)</f>
        <v/>
      </c>
      <c r="D18" s="5">
        <f>SUMIF(Inputs!$C$44:$C$55,D$4,Inputs!$B$44:$B$55)</f>
        <v/>
      </c>
      <c r="E18" s="5">
        <f>SUMIF(Inputs!$C$44:$C$55,E$4,Inputs!$B$44:$B$55)</f>
        <v/>
      </c>
      <c r="F18" s="5">
        <f>SUMIF(Inputs!$C$44:$C$55,F$4,Inputs!$B$44:$B$55)</f>
        <v/>
      </c>
      <c r="G18" s="5">
        <f>SUMIF(Inputs!$C$44:$C$55,G$4,Inputs!$B$44:$B$55)</f>
        <v/>
      </c>
      <c r="H18" s="5">
        <f>SUMIF(Inputs!$C$44:$C$55,H$4,Inputs!$B$44:$B$55)</f>
        <v/>
      </c>
      <c r="I18" s="5">
        <f>SUMIF(Inputs!$C$44:$C$55,I$4,Inputs!$B$44:$B$55)</f>
        <v/>
      </c>
      <c r="J18" s="5">
        <f>SUMIF(Inputs!$C$44:$C$55,J$4,Inputs!$B$44:$B$55)</f>
        <v/>
      </c>
      <c r="K18" s="5">
        <f>SUMIF(Inputs!$C$44:$C$55,K$4,Inputs!$B$44:$B$55)</f>
        <v/>
      </c>
      <c r="L18" s="5">
        <f>SUMIF(Inputs!$C$44:$C$55,L$4,Inputs!$B$44:$B$55)</f>
        <v/>
      </c>
      <c r="M18" s="5">
        <f>SUMIF(Inputs!$C$44:$C$55,M$4,Inputs!$B$44:$B$55)</f>
        <v/>
      </c>
      <c r="N18" s="5">
        <f>SUMIF(Inputs!$C$44:$C$55,N$4,Inputs!$B$44:$B$55)</f>
        <v/>
      </c>
      <c r="O18" s="8">
        <f>SUM(B18:N18)</f>
        <v/>
      </c>
    </row>
    <row r="19">
      <c r="A19" t="inlineStr">
        <is>
          <t>One-off payments</t>
        </is>
      </c>
      <c r="B19" s="5">
        <f>SUMIF(Inputs!$C$59:$C$66,B$4,Inputs!$B$59:$B$66)</f>
        <v/>
      </c>
      <c r="C19" s="5">
        <f>SUMIF(Inputs!$C$59:$C$66,C$4,Inputs!$B$59:$B$66)</f>
        <v/>
      </c>
      <c r="D19" s="5">
        <f>SUMIF(Inputs!$C$59:$C$66,D$4,Inputs!$B$59:$B$66)</f>
        <v/>
      </c>
      <c r="E19" s="5">
        <f>SUMIF(Inputs!$C$59:$C$66,E$4,Inputs!$B$59:$B$66)</f>
        <v/>
      </c>
      <c r="F19" s="5">
        <f>SUMIF(Inputs!$C$59:$C$66,F$4,Inputs!$B$59:$B$66)</f>
        <v/>
      </c>
      <c r="G19" s="5">
        <f>SUMIF(Inputs!$C$59:$C$66,G$4,Inputs!$B$59:$B$66)</f>
        <v/>
      </c>
      <c r="H19" s="5">
        <f>SUMIF(Inputs!$C$59:$C$66,H$4,Inputs!$B$59:$B$66)</f>
        <v/>
      </c>
      <c r="I19" s="5">
        <f>SUMIF(Inputs!$C$59:$C$66,I$4,Inputs!$B$59:$B$66)</f>
        <v/>
      </c>
      <c r="J19" s="5">
        <f>SUMIF(Inputs!$C$59:$C$66,J$4,Inputs!$B$59:$B$66)</f>
        <v/>
      </c>
      <c r="K19" s="5">
        <f>SUMIF(Inputs!$C$59:$C$66,K$4,Inputs!$B$59:$B$66)</f>
        <v/>
      </c>
      <c r="L19" s="5">
        <f>SUMIF(Inputs!$C$59:$C$66,L$4,Inputs!$B$59:$B$66)</f>
        <v/>
      </c>
      <c r="M19" s="5">
        <f>SUMIF(Inputs!$C$59:$C$66,M$4,Inputs!$B$59:$B$66)</f>
        <v/>
      </c>
      <c r="N19" s="5">
        <f>SUMIF(Inputs!$C$59:$C$66,N$4,Inputs!$B$59:$B$66)</f>
        <v/>
      </c>
      <c r="O19" s="8">
        <f>SUM(B19:N19)</f>
        <v/>
      </c>
    </row>
    <row r="20">
      <c r="A20" t="inlineStr">
        <is>
          <t>Payment processing and variable costs</t>
        </is>
      </c>
      <c r="B20" s="5">
        <f>Inputs!$B$21*(B9+B10+B11)</f>
        <v/>
      </c>
      <c r="C20" s="5">
        <f>Inputs!$B$21*(C9+C10+C11)</f>
        <v/>
      </c>
      <c r="D20" s="5">
        <f>Inputs!$B$21*(D9+D10+D11)</f>
        <v/>
      </c>
      <c r="E20" s="5">
        <f>Inputs!$B$21*(E9+E10+E11)</f>
        <v/>
      </c>
      <c r="F20" s="5">
        <f>Inputs!$B$21*(F9+F10+F11)</f>
        <v/>
      </c>
      <c r="G20" s="5">
        <f>Inputs!$B$21*(G9+G10+G11)</f>
        <v/>
      </c>
      <c r="H20" s="5">
        <f>Inputs!$B$21*(H9+H10+H11)</f>
        <v/>
      </c>
      <c r="I20" s="5">
        <f>Inputs!$B$21*(I9+I10+I11)</f>
        <v/>
      </c>
      <c r="J20" s="5">
        <f>Inputs!$B$21*(J9+J10+J11)</f>
        <v/>
      </c>
      <c r="K20" s="5">
        <f>Inputs!$B$21*(K9+K10+K11)</f>
        <v/>
      </c>
      <c r="L20" s="5">
        <f>Inputs!$B$21*(L9+L10+L11)</f>
        <v/>
      </c>
      <c r="M20" s="5">
        <f>Inputs!$B$21*(M9+M10+M11)</f>
        <v/>
      </c>
      <c r="N20" s="5">
        <f>Inputs!$B$21*(N9+N10+N11)</f>
        <v/>
      </c>
      <c r="O20" s="8">
        <f>SUM(B20:N20)</f>
        <v/>
      </c>
    </row>
    <row r="21">
      <c r="A21" s="3" t="inlineStr">
        <is>
          <t>Total disbursements</t>
        </is>
      </c>
      <c r="B21" s="5">
        <f>SUM(B15:B20)</f>
        <v/>
      </c>
      <c r="C21" s="5">
        <f>SUM(C15:C20)</f>
        <v/>
      </c>
      <c r="D21" s="5">
        <f>SUM(D15:D20)</f>
        <v/>
      </c>
      <c r="E21" s="5">
        <f>SUM(E15:E20)</f>
        <v/>
      </c>
      <c r="F21" s="5">
        <f>SUM(F15:F20)</f>
        <v/>
      </c>
      <c r="G21" s="5">
        <f>SUM(G15:G20)</f>
        <v/>
      </c>
      <c r="H21" s="5">
        <f>SUM(H15:H20)</f>
        <v/>
      </c>
      <c r="I21" s="5">
        <f>SUM(I15:I20)</f>
        <v/>
      </c>
      <c r="J21" s="5">
        <f>SUM(J15:J20)</f>
        <v/>
      </c>
      <c r="K21" s="5">
        <f>SUM(K15:K20)</f>
        <v/>
      </c>
      <c r="L21" s="5">
        <f>SUM(L15:L20)</f>
        <v/>
      </c>
      <c r="M21" s="5">
        <f>SUM(M15:M20)</f>
        <v/>
      </c>
      <c r="N21" s="5">
        <f>SUM(N15:N20)</f>
        <v/>
      </c>
      <c r="O21" s="8">
        <f>SUM(B21:N21)</f>
        <v/>
      </c>
    </row>
    <row r="22">
      <c r="A22" s="3" t="inlineStr">
        <is>
          <t>Net cash flow</t>
        </is>
      </c>
      <c r="B22" s="5">
        <f>B13-B21</f>
        <v/>
      </c>
      <c r="C22" s="5">
        <f>C13-C21</f>
        <v/>
      </c>
      <c r="D22" s="5">
        <f>D13-D21</f>
        <v/>
      </c>
      <c r="E22" s="5">
        <f>E13-E21</f>
        <v/>
      </c>
      <c r="F22" s="5">
        <f>F13-F21</f>
        <v/>
      </c>
      <c r="G22" s="5">
        <f>G13-G21</f>
        <v/>
      </c>
      <c r="H22" s="5">
        <f>H13-H21</f>
        <v/>
      </c>
      <c r="I22" s="5">
        <f>I13-I21</f>
        <v/>
      </c>
      <c r="J22" s="5">
        <f>J13-J21</f>
        <v/>
      </c>
      <c r="K22" s="5">
        <f>K13-K21</f>
        <v/>
      </c>
      <c r="L22" s="5">
        <f>L13-L21</f>
        <v/>
      </c>
      <c r="M22" s="5">
        <f>M13-M21</f>
        <v/>
      </c>
      <c r="N22" s="5">
        <f>N13-N21</f>
        <v/>
      </c>
      <c r="O22" s="8">
        <f>SUM(B22:N22)</f>
        <v/>
      </c>
    </row>
    <row r="23">
      <c r="A23" s="3" t="inlineStr">
        <is>
          <t>Closing cash</t>
        </is>
      </c>
      <c r="B23" s="8">
        <f>B7+B22</f>
        <v/>
      </c>
      <c r="C23" s="8">
        <f>C7+C22</f>
        <v/>
      </c>
      <c r="D23" s="8">
        <f>D7+D22</f>
        <v/>
      </c>
      <c r="E23" s="8">
        <f>E7+E22</f>
        <v/>
      </c>
      <c r="F23" s="8">
        <f>F7+F22</f>
        <v/>
      </c>
      <c r="G23" s="8">
        <f>G7+G22</f>
        <v/>
      </c>
      <c r="H23" s="8">
        <f>H7+H22</f>
        <v/>
      </c>
      <c r="I23" s="8">
        <f>I7+I22</f>
        <v/>
      </c>
      <c r="J23" s="8">
        <f>J7+J22</f>
        <v/>
      </c>
      <c r="K23" s="8">
        <f>K7+K22</f>
        <v/>
      </c>
      <c r="L23" s="8">
        <f>L7+L22</f>
        <v/>
      </c>
      <c r="M23" s="8">
        <f>M7+M22</f>
        <v/>
      </c>
      <c r="N23" s="8">
        <f>N7+N22</f>
        <v/>
      </c>
      <c r="O23" s="8">
        <f>N23</f>
        <v/>
      </c>
    </row>
    <row r="24">
      <c r="A24" t="inlineStr">
        <is>
          <t>Below minimum (1 = yes)</t>
        </is>
      </c>
      <c r="B24">
        <f>IF(B23&lt;Inputs!$B$7,1,0)</f>
        <v/>
      </c>
      <c r="C24">
        <f>IF(C23&lt;Inputs!$B$7,1,0)</f>
        <v/>
      </c>
      <c r="D24">
        <f>IF(D23&lt;Inputs!$B$7,1,0)</f>
        <v/>
      </c>
      <c r="E24">
        <f>IF(E23&lt;Inputs!$B$7,1,0)</f>
        <v/>
      </c>
      <c r="F24">
        <f>IF(F23&lt;Inputs!$B$7,1,0)</f>
        <v/>
      </c>
      <c r="G24">
        <f>IF(G23&lt;Inputs!$B$7,1,0)</f>
        <v/>
      </c>
      <c r="H24">
        <f>IF(H23&lt;Inputs!$B$7,1,0)</f>
        <v/>
      </c>
      <c r="I24">
        <f>IF(I23&lt;Inputs!$B$7,1,0)</f>
        <v/>
      </c>
      <c r="J24">
        <f>IF(J23&lt;Inputs!$B$7,1,0)</f>
        <v/>
      </c>
      <c r="K24">
        <f>IF(K23&lt;Inputs!$B$7,1,0)</f>
        <v/>
      </c>
      <c r="L24">
        <f>IF(L23&lt;Inputs!$B$7,1,0)</f>
        <v/>
      </c>
      <c r="M24">
        <f>IF(M23&lt;Inputs!$B$7,1,0)</f>
        <v/>
      </c>
      <c r="N24">
        <f>IF(N23&lt;Inputs!$B$7,1,0)</f>
        <v/>
      </c>
      <c r="O24">
        <f>SUM(B24:N24)</f>
        <v/>
      </c>
    </row>
    <row r="25">
      <c r="A25" t="inlineStr">
        <is>
          <t>Status</t>
        </is>
      </c>
      <c r="B25">
        <f>IF(B23&lt;0,"Below zero",IF(B23&lt;Inputs!$B$7,"Below minimum","OK"))</f>
        <v/>
      </c>
      <c r="C25">
        <f>IF(C23&lt;0,"Below zero",IF(C23&lt;Inputs!$B$7,"Below minimum","OK"))</f>
        <v/>
      </c>
      <c r="D25">
        <f>IF(D23&lt;0,"Below zero",IF(D23&lt;Inputs!$B$7,"Below minimum","OK"))</f>
        <v/>
      </c>
      <c r="E25">
        <f>IF(E23&lt;0,"Below zero",IF(E23&lt;Inputs!$B$7,"Below minimum","OK"))</f>
        <v/>
      </c>
      <c r="F25">
        <f>IF(F23&lt;0,"Below zero",IF(F23&lt;Inputs!$B$7,"Below minimum","OK"))</f>
        <v/>
      </c>
      <c r="G25">
        <f>IF(G23&lt;0,"Below zero",IF(G23&lt;Inputs!$B$7,"Below minimum","OK"))</f>
        <v/>
      </c>
      <c r="H25">
        <f>IF(H23&lt;0,"Below zero",IF(H23&lt;Inputs!$B$7,"Below minimum","OK"))</f>
        <v/>
      </c>
      <c r="I25">
        <f>IF(I23&lt;0,"Below zero",IF(I23&lt;Inputs!$B$7,"Below minimum","OK"))</f>
        <v/>
      </c>
      <c r="J25">
        <f>IF(J23&lt;0,"Below zero",IF(J23&lt;Inputs!$B$7,"Below minimum","OK"))</f>
        <v/>
      </c>
      <c r="K25">
        <f>IF(K23&lt;0,"Below zero",IF(K23&lt;Inputs!$B$7,"Below minimum","OK"))</f>
        <v/>
      </c>
      <c r="L25">
        <f>IF(L23&lt;0,"Below zero",IF(L23&lt;Inputs!$B$7,"Below minimum","OK"))</f>
        <v/>
      </c>
      <c r="M25">
        <f>IF(M23&lt;0,"Below zero",IF(M23&lt;Inputs!$B$7,"Below minimum","OK"))</f>
        <v/>
      </c>
      <c r="N25">
        <f>IF(N23&lt;0,"Below zero",IF(N23&lt;Inputs!$B$7,"Below minimum","OK"))</f>
        <v/>
      </c>
    </row>
    <row r="27">
      <c r="A27" s="6" t="inlineStr">
        <is>
          <t>Summary</t>
        </is>
      </c>
      <c r="B27" s="7" t="n"/>
      <c r="C27" s="7" t="n"/>
    </row>
    <row r="28">
      <c r="A28" t="inlineStr">
        <is>
          <t>Lowest closing cash</t>
        </is>
      </c>
      <c r="B28" s="9">
        <f>MIN(B23:N23)</f>
        <v/>
      </c>
    </row>
    <row r="29">
      <c r="A29" t="inlineStr">
        <is>
          <t>Lowest week</t>
        </is>
      </c>
      <c r="B29" s="10">
        <f>MATCH(MIN(B23:N23),B23:N23,0)</f>
        <v/>
      </c>
    </row>
    <row r="30">
      <c r="A30" t="inlineStr">
        <is>
          <t>Cash at end of week 13</t>
        </is>
      </c>
      <c r="B30" s="9">
        <f>N23</f>
        <v/>
      </c>
    </row>
    <row r="31">
      <c r="A31" t="inlineStr">
        <is>
          <t>Net change over 13 weeks</t>
        </is>
      </c>
      <c r="B31" s="9">
        <f>O22</f>
        <v/>
      </c>
    </row>
    <row r="32">
      <c r="A32" t="inlineStr">
        <is>
          <t>Weeks below minimum</t>
        </is>
      </c>
      <c r="B32" s="10">
        <f>O24</f>
        <v/>
      </c>
    </row>
    <row r="33">
      <c r="A33" t="inlineStr">
        <is>
          <t>First week below minimum</t>
        </is>
      </c>
      <c r="B33" s="10">
        <f>IFERROR(MATCH(1,B24:N24,0),"None")</f>
        <v/>
      </c>
    </row>
    <row r="34">
      <c r="A34" t="inlineStr">
        <is>
          <t>Weeks below zero</t>
        </is>
      </c>
      <c r="B34" s="10">
        <f>COUNTIF(B23:N23,"&lt;0")</f>
        <v/>
      </c>
    </row>
    <row r="35">
      <c r="A35" t="inlineStr">
        <is>
          <t>Annual invoices paid after week 13</t>
        </is>
      </c>
      <c r="B35" s="9">
        <f>SUMIFS(Inputs!$B$24:$B$31,Inputs!$E$24:$E$31,"&gt;"&amp;N6)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41"/>
  <sheetViews>
    <sheetView workbookViewId="0">
      <pane xSplit="1" ySplit="15" topLeftCell="B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1" customWidth="1" min="3" max="3"/>
    <col width="14" customWidth="1" min="4" max="4"/>
    <col width="14" customWidth="1" min="5" max="5"/>
    <col width="9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  <col width="13" customWidth="1" min="12" max="12"/>
    <col width="12" customWidth="1" min="13" max="13"/>
    <col width="13" customWidth="1" min="14" max="14"/>
    <col width="13" customWidth="1" min="15" max="15"/>
    <col width="14" customWidth="1" min="16" max="16"/>
    <col width="11" customWidth="1" min="17" max="17"/>
    <col width="15" customWidth="1" min="18" max="18"/>
    <col width="3" customWidth="1" min="19" max="19"/>
    <col width="14" customWidth="1" min="20" max="20"/>
    <col width="14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</cols>
  <sheetData>
    <row r="1">
      <c r="A1" s="1" t="inlineStr">
        <is>
          <t>Actuals, variance and the rolling 13 weeks</t>
        </is>
      </c>
    </row>
    <row r="2">
      <c r="A2" s="2" t="inlineStr">
        <is>
          <t>Set weeks closed, then type actual total receipts and disbursements for each closed week (blank = on forecast). Forecast lines come from the Inputs sheet.</t>
        </is>
      </c>
    </row>
    <row r="3">
      <c r="A3" s="3" t="inlineStr">
        <is>
          <t>Weeks closed (0 to 13)</t>
        </is>
      </c>
      <c r="D3" s="11" t="n">
        <v>0</v>
      </c>
    </row>
    <row r="5">
      <c r="A5" s="6" t="inlineStr">
        <is>
          <t>Outlook</t>
        </is>
      </c>
      <c r="B5" s="7" t="n"/>
      <c r="C5" s="7" t="n"/>
      <c r="D5" s="7" t="n"/>
    </row>
    <row r="6">
      <c r="A6" t="inlineStr">
        <is>
          <t>Cash now (after the last closed week)</t>
        </is>
      </c>
      <c r="D6" s="8">
        <f>IF($D$3=0,Inputs!$B$6,INDEX(P16:P41,$D$3))</f>
        <v/>
      </c>
    </row>
    <row r="7">
      <c r="A7" t="inlineStr">
        <is>
          <t>First forecast for the same week</t>
        </is>
      </c>
      <c r="D7" s="8">
        <f>IF($D$3=0,Inputs!$B$6,INDEX(Forecast!B23:N23,$D$3))</f>
        <v/>
      </c>
    </row>
    <row r="8">
      <c r="A8" t="inlineStr">
        <is>
          <t>Cash vs forecast</t>
        </is>
      </c>
      <c r="D8" s="8">
        <f>D6-D7</f>
        <v/>
      </c>
    </row>
    <row r="9">
      <c r="A9" t="inlineStr">
        <is>
          <t>Week 13 cash: first forecast</t>
        </is>
      </c>
      <c r="D9" s="8">
        <f>Forecast!N23</f>
        <v/>
      </c>
    </row>
    <row r="10">
      <c r="A10" t="inlineStr">
        <is>
          <t>Week 13 cash: re-forecast</t>
        </is>
      </c>
      <c r="D10" s="8">
        <f>P28</f>
        <v/>
      </c>
    </row>
    <row r="11">
      <c r="A11" t="inlineStr">
        <is>
          <t>Lowest cash in the next 13 weeks</t>
        </is>
      </c>
      <c r="D11" s="8">
        <f>MIN(T16:T41)</f>
        <v/>
      </c>
    </row>
    <row r="12">
      <c r="A12" t="inlineStr">
        <is>
          <t>Lowest week</t>
        </is>
      </c>
      <c r="D12" s="12">
        <f>MATCH(D11,T16:T41,0)</f>
        <v/>
      </c>
    </row>
    <row r="13">
      <c r="A13" t="inlineStr">
        <is>
          <t>Weeks below minimum ahead</t>
        </is>
      </c>
      <c r="D13" s="12">
        <f>COUNTIF(R16:R41,"Below minimum")+COUNTIF(R16:R41,"Below zero")</f>
        <v/>
      </c>
    </row>
    <row r="15">
      <c r="A15" s="13" t="inlineStr">
        <is>
          <t>Week</t>
        </is>
      </c>
      <c r="B15" s="13" t="inlineStr">
        <is>
          <t>Starts</t>
        </is>
      </c>
      <c r="C15" s="13" t="inlineStr">
        <is>
          <t>Ends</t>
        </is>
      </c>
      <c r="D15" s="13" t="inlineStr">
        <is>
          <t>Forecast receipts</t>
        </is>
      </c>
      <c r="E15" s="13" t="inlineStr">
        <is>
          <t>Forecast disbursements</t>
        </is>
      </c>
      <c r="F15" s="13" t="inlineStr">
        <is>
          <t>Closed</t>
        </is>
      </c>
      <c r="G15" s="13" t="inlineStr">
        <is>
          <t>Actual receipts</t>
        </is>
      </c>
      <c r="H15" s="13" t="inlineStr">
        <is>
          <t>Actual disbursements</t>
        </is>
      </c>
      <c r="I15" s="13" t="inlineStr">
        <is>
          <t>Receipts used</t>
        </is>
      </c>
      <c r="J15" s="13" t="inlineStr">
        <is>
          <t>Disbursements used</t>
        </is>
      </c>
      <c r="K15" s="13" t="inlineStr">
        <is>
          <t>Receipts var</t>
        </is>
      </c>
      <c r="L15" s="13" t="inlineStr">
        <is>
          <t>Reading</t>
        </is>
      </c>
      <c r="M15" s="13" t="inlineStr">
        <is>
          <t>Disb. var</t>
        </is>
      </c>
      <c r="N15" s="13" t="inlineStr">
        <is>
          <t>Reading</t>
        </is>
      </c>
      <c r="O15" s="13" t="inlineStr">
        <is>
          <t>Net cash flow</t>
        </is>
      </c>
      <c r="P15" s="13" t="inlineStr">
        <is>
          <t>Closing cash</t>
        </is>
      </c>
      <c r="Q15" s="13" t="inlineStr">
        <is>
          <t>Basis</t>
        </is>
      </c>
      <c r="R15" s="13" t="inlineStr">
        <is>
          <t>Status</t>
        </is>
      </c>
      <c r="S15" s="13" t="inlineStr"/>
      <c r="T15" s="13" t="inlineStr">
        <is>
          <t>Window closing</t>
        </is>
      </c>
    </row>
    <row r="16">
      <c r="A16" t="n">
        <v>1</v>
      </c>
      <c r="B16" s="4">
        <f>Inputs!$B$5+7*(A16-1)</f>
        <v/>
      </c>
      <c r="C16" s="4">
        <f>B16+6</f>
        <v/>
      </c>
      <c r="D16" s="5">
        <f>SUMIFS(Schedule!$F$5:$F$17,Schedule!$E$5:$E$17,"&gt;="&amp;$B16,Schedule!$E$5:$E$17,"&lt;="&amp;$C16)+SUMIFS(Schedule!$H$5:$H$17,Schedule!$G$5:$G$17,"&gt;="&amp;$B16,Schedule!$G$5:$G$17,"&lt;="&amp;$C16)+SUMIFS(Inputs!$B$24:$B$31,Inputs!$E$24:$E$31,"&gt;="&amp;$B16,Inputs!$E$24:$E$31,"&lt;="&amp;$C16)+SUMIF(Inputs!$C$35:$C$40,$A16,Inputs!$B$35:$B$40)</f>
        <v/>
      </c>
      <c r="E16" s="5">
        <f>SUMIFS(Schedule!$K$5:$K$17,Schedule!$J$5:$J$17,"&gt;="&amp;$B16,Schedule!$J$5:$J$17,"&lt;="&amp;$C16)+SUMIFS(Schedule!$M$5:$M$17,Schedule!$L$5:$L$17,"&gt;="&amp;$B16,Schedule!$L$5:$L$17,"&lt;="&amp;$C16)+SUMIFS(Schedule!$S$5:$S$17,Schedule!$R$5:$R$17,"&gt;="&amp;$B16,Schedule!$R$5:$R$17,"&lt;="&amp;$C16)+SUMIFS(Schedule!$O$5:$O$17,Schedule!$N$5:$N$17,"&gt;="&amp;$B16,Schedule!$N$5:$N$17,"&lt;="&amp;$C16)+SUMIFS(Schedule!$V$5:$V$17,Schedule!$U$5:$U$17,"&gt;="&amp;$B16,Schedule!$U$5:$U$17,"&lt;="&amp;$C16)+SUMIF(Inputs!$C$44:$C$55,$A16,Inputs!$B$44:$B$55)+SUMIF(Inputs!$C$59:$C$66,$A16,Inputs!$B$59:$B$66)+Inputs!$B$21*(SUMIFS(Schedule!$F$5:$F$17,Schedule!$E$5:$E$17,"&gt;="&amp;$B16,Schedule!$E$5:$E$17,"&lt;="&amp;$C16)+SUMIFS(Schedule!$H$5:$H$17,Schedule!$G$5:$G$17,"&gt;="&amp;$B16,Schedule!$G$5:$G$17,"&lt;="&amp;$C16)+SUMIFS(Inputs!$B$24:$B$31,Inputs!$E$24:$E$31,"&gt;="&amp;$B16,Inputs!$E$24:$E$31,"&lt;="&amp;$C16))</f>
        <v/>
      </c>
      <c r="F16">
        <f>IF(A16&lt;=$D$3,1,0)</f>
        <v/>
      </c>
      <c r="G16" s="14" t="n"/>
      <c r="H16" s="14" t="n"/>
      <c r="I16" s="5">
        <f>IF(AND(F16=1,G16&lt;&gt;""),G16,D16)</f>
        <v/>
      </c>
      <c r="J16" s="5">
        <f>IF(AND(F16=1,H16&lt;&gt;""),H16,E16)</f>
        <v/>
      </c>
      <c r="K16" s="5">
        <f>IF(F16=1,I16-D16,"")</f>
        <v/>
      </c>
      <c r="L16">
        <f>IF(F16=1,IF(ROUND(K16,2)&gt;0,"Favorable",IF(ROUND(K16,2)&lt;0,"Unfavorable","On forecast")),"")</f>
        <v/>
      </c>
      <c r="M16" s="5">
        <f>IF(F16=1,J16-E16,"")</f>
        <v/>
      </c>
      <c r="N16">
        <f>IF(F16=1,IF(ROUND(M16,2)&lt;0,"Favorable",IF(ROUND(M16,2)&gt;0,"Unfavorable","On forecast")),"")</f>
        <v/>
      </c>
      <c r="O16" s="5">
        <f>I16-J16</f>
        <v/>
      </c>
      <c r="P16" s="5">
        <f>Inputs!$B$6+O16</f>
        <v/>
      </c>
      <c r="Q16">
        <f>IF(F16=1,"Actual",IF(AND(A16&gt;$D$3,A16&lt;=$D$3+13),"Forecast",""))</f>
        <v/>
      </c>
      <c r="R16">
        <f>IF(AND(A16&gt;$D$3,A16&lt;=$D$3+13),IF(P16&lt;0,"Below zero",IF(P16&lt;Inputs!$B$7,"Below minimum","OK")),"")</f>
        <v/>
      </c>
      <c r="T16" s="5">
        <f>IF(AND(A16&gt;$D$3,A16&lt;=$D$3+13),P16,"")</f>
        <v/>
      </c>
    </row>
    <row r="17">
      <c r="A17" t="n">
        <v>2</v>
      </c>
      <c r="B17" s="4">
        <f>Inputs!$B$5+7*(A17-1)</f>
        <v/>
      </c>
      <c r="C17" s="4">
        <f>B17+6</f>
        <v/>
      </c>
      <c r="D17" s="5">
        <f>SUMIFS(Schedule!$F$5:$F$17,Schedule!$E$5:$E$17,"&gt;="&amp;$B17,Schedule!$E$5:$E$17,"&lt;="&amp;$C17)+SUMIFS(Schedule!$H$5:$H$17,Schedule!$G$5:$G$17,"&gt;="&amp;$B17,Schedule!$G$5:$G$17,"&lt;="&amp;$C17)+SUMIFS(Inputs!$B$24:$B$31,Inputs!$E$24:$E$31,"&gt;="&amp;$B17,Inputs!$E$24:$E$31,"&lt;="&amp;$C17)+SUMIF(Inputs!$C$35:$C$40,$A17,Inputs!$B$35:$B$40)</f>
        <v/>
      </c>
      <c r="E17" s="5">
        <f>SUMIFS(Schedule!$K$5:$K$17,Schedule!$J$5:$J$17,"&gt;="&amp;$B17,Schedule!$J$5:$J$17,"&lt;="&amp;$C17)+SUMIFS(Schedule!$M$5:$M$17,Schedule!$L$5:$L$17,"&gt;="&amp;$B17,Schedule!$L$5:$L$17,"&lt;="&amp;$C17)+SUMIFS(Schedule!$S$5:$S$17,Schedule!$R$5:$R$17,"&gt;="&amp;$B17,Schedule!$R$5:$R$17,"&lt;="&amp;$C17)+SUMIFS(Schedule!$O$5:$O$17,Schedule!$N$5:$N$17,"&gt;="&amp;$B17,Schedule!$N$5:$N$17,"&lt;="&amp;$C17)+SUMIFS(Schedule!$V$5:$V$17,Schedule!$U$5:$U$17,"&gt;="&amp;$B17,Schedule!$U$5:$U$17,"&lt;="&amp;$C17)+SUMIF(Inputs!$C$44:$C$55,$A17,Inputs!$B$44:$B$55)+SUMIF(Inputs!$C$59:$C$66,$A17,Inputs!$B$59:$B$66)+Inputs!$B$21*(SUMIFS(Schedule!$F$5:$F$17,Schedule!$E$5:$E$17,"&gt;="&amp;$B17,Schedule!$E$5:$E$17,"&lt;="&amp;$C17)+SUMIFS(Schedule!$H$5:$H$17,Schedule!$G$5:$G$17,"&gt;="&amp;$B17,Schedule!$G$5:$G$17,"&lt;="&amp;$C17)+SUMIFS(Inputs!$B$24:$B$31,Inputs!$E$24:$E$31,"&gt;="&amp;$B17,Inputs!$E$24:$E$31,"&lt;="&amp;$C17))</f>
        <v/>
      </c>
      <c r="F17">
        <f>IF(A17&lt;=$D$3,1,0)</f>
        <v/>
      </c>
      <c r="G17" s="14" t="n"/>
      <c r="H17" s="14" t="n"/>
      <c r="I17" s="5">
        <f>IF(AND(F17=1,G17&lt;&gt;""),G17,D17)</f>
        <v/>
      </c>
      <c r="J17" s="5">
        <f>IF(AND(F17=1,H17&lt;&gt;""),H17,E17)</f>
        <v/>
      </c>
      <c r="K17" s="5">
        <f>IF(F17=1,I17-D17,"")</f>
        <v/>
      </c>
      <c r="L17">
        <f>IF(F17=1,IF(ROUND(K17,2)&gt;0,"Favorable",IF(ROUND(K17,2)&lt;0,"Unfavorable","On forecast")),"")</f>
        <v/>
      </c>
      <c r="M17" s="5">
        <f>IF(F17=1,J17-E17,"")</f>
        <v/>
      </c>
      <c r="N17">
        <f>IF(F17=1,IF(ROUND(M17,2)&lt;0,"Favorable",IF(ROUND(M17,2)&gt;0,"Unfavorable","On forecast")),"")</f>
        <v/>
      </c>
      <c r="O17" s="5">
        <f>I17-J17</f>
        <v/>
      </c>
      <c r="P17" s="5">
        <f>P16+O17</f>
        <v/>
      </c>
      <c r="Q17">
        <f>IF(F17=1,"Actual",IF(AND(A17&gt;$D$3,A17&lt;=$D$3+13),"Forecast",""))</f>
        <v/>
      </c>
      <c r="R17">
        <f>IF(AND(A17&gt;$D$3,A17&lt;=$D$3+13),IF(P17&lt;0,"Below zero",IF(P17&lt;Inputs!$B$7,"Below minimum","OK")),"")</f>
        <v/>
      </c>
      <c r="T17" s="5">
        <f>IF(AND(A17&gt;$D$3,A17&lt;=$D$3+13),P17,"")</f>
        <v/>
      </c>
    </row>
    <row r="18">
      <c r="A18" t="n">
        <v>3</v>
      </c>
      <c r="B18" s="4">
        <f>Inputs!$B$5+7*(A18-1)</f>
        <v/>
      </c>
      <c r="C18" s="4">
        <f>B18+6</f>
        <v/>
      </c>
      <c r="D18" s="5">
        <f>SUMIFS(Schedule!$F$5:$F$17,Schedule!$E$5:$E$17,"&gt;="&amp;$B18,Schedule!$E$5:$E$17,"&lt;="&amp;$C18)+SUMIFS(Schedule!$H$5:$H$17,Schedule!$G$5:$G$17,"&gt;="&amp;$B18,Schedule!$G$5:$G$17,"&lt;="&amp;$C18)+SUMIFS(Inputs!$B$24:$B$31,Inputs!$E$24:$E$31,"&gt;="&amp;$B18,Inputs!$E$24:$E$31,"&lt;="&amp;$C18)+SUMIF(Inputs!$C$35:$C$40,$A18,Inputs!$B$35:$B$40)</f>
        <v/>
      </c>
      <c r="E18" s="5">
        <f>SUMIFS(Schedule!$K$5:$K$17,Schedule!$J$5:$J$17,"&gt;="&amp;$B18,Schedule!$J$5:$J$17,"&lt;="&amp;$C18)+SUMIFS(Schedule!$M$5:$M$17,Schedule!$L$5:$L$17,"&gt;="&amp;$B18,Schedule!$L$5:$L$17,"&lt;="&amp;$C18)+SUMIFS(Schedule!$S$5:$S$17,Schedule!$R$5:$R$17,"&gt;="&amp;$B18,Schedule!$R$5:$R$17,"&lt;="&amp;$C18)+SUMIFS(Schedule!$O$5:$O$17,Schedule!$N$5:$N$17,"&gt;="&amp;$B18,Schedule!$N$5:$N$17,"&lt;="&amp;$C18)+SUMIFS(Schedule!$V$5:$V$17,Schedule!$U$5:$U$17,"&gt;="&amp;$B18,Schedule!$U$5:$U$17,"&lt;="&amp;$C18)+SUMIF(Inputs!$C$44:$C$55,$A18,Inputs!$B$44:$B$55)+SUMIF(Inputs!$C$59:$C$66,$A18,Inputs!$B$59:$B$66)+Inputs!$B$21*(SUMIFS(Schedule!$F$5:$F$17,Schedule!$E$5:$E$17,"&gt;="&amp;$B18,Schedule!$E$5:$E$17,"&lt;="&amp;$C18)+SUMIFS(Schedule!$H$5:$H$17,Schedule!$G$5:$G$17,"&gt;="&amp;$B18,Schedule!$G$5:$G$17,"&lt;="&amp;$C18)+SUMIFS(Inputs!$B$24:$B$31,Inputs!$E$24:$E$31,"&gt;="&amp;$B18,Inputs!$E$24:$E$31,"&lt;="&amp;$C18))</f>
        <v/>
      </c>
      <c r="F18">
        <f>IF(A18&lt;=$D$3,1,0)</f>
        <v/>
      </c>
      <c r="G18" s="14" t="n"/>
      <c r="H18" s="14" t="n"/>
      <c r="I18" s="5">
        <f>IF(AND(F18=1,G18&lt;&gt;""),G18,D18)</f>
        <v/>
      </c>
      <c r="J18" s="5">
        <f>IF(AND(F18=1,H18&lt;&gt;""),H18,E18)</f>
        <v/>
      </c>
      <c r="K18" s="5">
        <f>IF(F18=1,I18-D18,"")</f>
        <v/>
      </c>
      <c r="L18">
        <f>IF(F18=1,IF(ROUND(K18,2)&gt;0,"Favorable",IF(ROUND(K18,2)&lt;0,"Unfavorable","On forecast")),"")</f>
        <v/>
      </c>
      <c r="M18" s="5">
        <f>IF(F18=1,J18-E18,"")</f>
        <v/>
      </c>
      <c r="N18">
        <f>IF(F18=1,IF(ROUND(M18,2)&lt;0,"Favorable",IF(ROUND(M18,2)&gt;0,"Unfavorable","On forecast")),"")</f>
        <v/>
      </c>
      <c r="O18" s="5">
        <f>I18-J18</f>
        <v/>
      </c>
      <c r="P18" s="5">
        <f>P17+O18</f>
        <v/>
      </c>
      <c r="Q18">
        <f>IF(F18=1,"Actual",IF(AND(A18&gt;$D$3,A18&lt;=$D$3+13),"Forecast",""))</f>
        <v/>
      </c>
      <c r="R18">
        <f>IF(AND(A18&gt;$D$3,A18&lt;=$D$3+13),IF(P18&lt;0,"Below zero",IF(P18&lt;Inputs!$B$7,"Below minimum","OK")),"")</f>
        <v/>
      </c>
      <c r="T18" s="5">
        <f>IF(AND(A18&gt;$D$3,A18&lt;=$D$3+13),P18,"")</f>
        <v/>
      </c>
    </row>
    <row r="19">
      <c r="A19" t="n">
        <v>4</v>
      </c>
      <c r="B19" s="4">
        <f>Inputs!$B$5+7*(A19-1)</f>
        <v/>
      </c>
      <c r="C19" s="4">
        <f>B19+6</f>
        <v/>
      </c>
      <c r="D19" s="5">
        <f>SUMIFS(Schedule!$F$5:$F$17,Schedule!$E$5:$E$17,"&gt;="&amp;$B19,Schedule!$E$5:$E$17,"&lt;="&amp;$C19)+SUMIFS(Schedule!$H$5:$H$17,Schedule!$G$5:$G$17,"&gt;="&amp;$B19,Schedule!$G$5:$G$17,"&lt;="&amp;$C19)+SUMIFS(Inputs!$B$24:$B$31,Inputs!$E$24:$E$31,"&gt;="&amp;$B19,Inputs!$E$24:$E$31,"&lt;="&amp;$C19)+SUMIF(Inputs!$C$35:$C$40,$A19,Inputs!$B$35:$B$40)</f>
        <v/>
      </c>
      <c r="E19" s="5">
        <f>SUMIFS(Schedule!$K$5:$K$17,Schedule!$J$5:$J$17,"&gt;="&amp;$B19,Schedule!$J$5:$J$17,"&lt;="&amp;$C19)+SUMIFS(Schedule!$M$5:$M$17,Schedule!$L$5:$L$17,"&gt;="&amp;$B19,Schedule!$L$5:$L$17,"&lt;="&amp;$C19)+SUMIFS(Schedule!$S$5:$S$17,Schedule!$R$5:$R$17,"&gt;="&amp;$B19,Schedule!$R$5:$R$17,"&lt;="&amp;$C19)+SUMIFS(Schedule!$O$5:$O$17,Schedule!$N$5:$N$17,"&gt;="&amp;$B19,Schedule!$N$5:$N$17,"&lt;="&amp;$C19)+SUMIFS(Schedule!$V$5:$V$17,Schedule!$U$5:$U$17,"&gt;="&amp;$B19,Schedule!$U$5:$U$17,"&lt;="&amp;$C19)+SUMIF(Inputs!$C$44:$C$55,$A19,Inputs!$B$44:$B$55)+SUMIF(Inputs!$C$59:$C$66,$A19,Inputs!$B$59:$B$66)+Inputs!$B$21*(SUMIFS(Schedule!$F$5:$F$17,Schedule!$E$5:$E$17,"&gt;="&amp;$B19,Schedule!$E$5:$E$17,"&lt;="&amp;$C19)+SUMIFS(Schedule!$H$5:$H$17,Schedule!$G$5:$G$17,"&gt;="&amp;$B19,Schedule!$G$5:$G$17,"&lt;="&amp;$C19)+SUMIFS(Inputs!$B$24:$B$31,Inputs!$E$24:$E$31,"&gt;="&amp;$B19,Inputs!$E$24:$E$31,"&lt;="&amp;$C19))</f>
        <v/>
      </c>
      <c r="F19">
        <f>IF(A19&lt;=$D$3,1,0)</f>
        <v/>
      </c>
      <c r="G19" s="14" t="n"/>
      <c r="H19" s="14" t="n"/>
      <c r="I19" s="5">
        <f>IF(AND(F19=1,G19&lt;&gt;""),G19,D19)</f>
        <v/>
      </c>
      <c r="J19" s="5">
        <f>IF(AND(F19=1,H19&lt;&gt;""),H19,E19)</f>
        <v/>
      </c>
      <c r="K19" s="5">
        <f>IF(F19=1,I19-D19,"")</f>
        <v/>
      </c>
      <c r="L19">
        <f>IF(F19=1,IF(ROUND(K19,2)&gt;0,"Favorable",IF(ROUND(K19,2)&lt;0,"Unfavorable","On forecast")),"")</f>
        <v/>
      </c>
      <c r="M19" s="5">
        <f>IF(F19=1,J19-E19,"")</f>
        <v/>
      </c>
      <c r="N19">
        <f>IF(F19=1,IF(ROUND(M19,2)&lt;0,"Favorable",IF(ROUND(M19,2)&gt;0,"Unfavorable","On forecast")),"")</f>
        <v/>
      </c>
      <c r="O19" s="5">
        <f>I19-J19</f>
        <v/>
      </c>
      <c r="P19" s="5">
        <f>P18+O19</f>
        <v/>
      </c>
      <c r="Q19">
        <f>IF(F19=1,"Actual",IF(AND(A19&gt;$D$3,A19&lt;=$D$3+13),"Forecast",""))</f>
        <v/>
      </c>
      <c r="R19">
        <f>IF(AND(A19&gt;$D$3,A19&lt;=$D$3+13),IF(P19&lt;0,"Below zero",IF(P19&lt;Inputs!$B$7,"Below minimum","OK")),"")</f>
        <v/>
      </c>
      <c r="T19" s="5">
        <f>IF(AND(A19&gt;$D$3,A19&lt;=$D$3+13),P19,"")</f>
        <v/>
      </c>
    </row>
    <row r="20">
      <c r="A20" t="n">
        <v>5</v>
      </c>
      <c r="B20" s="4">
        <f>Inputs!$B$5+7*(A20-1)</f>
        <v/>
      </c>
      <c r="C20" s="4">
        <f>B20+6</f>
        <v/>
      </c>
      <c r="D20" s="5">
        <f>SUMIFS(Schedule!$F$5:$F$17,Schedule!$E$5:$E$17,"&gt;="&amp;$B20,Schedule!$E$5:$E$17,"&lt;="&amp;$C20)+SUMIFS(Schedule!$H$5:$H$17,Schedule!$G$5:$G$17,"&gt;="&amp;$B20,Schedule!$G$5:$G$17,"&lt;="&amp;$C20)+SUMIFS(Inputs!$B$24:$B$31,Inputs!$E$24:$E$31,"&gt;="&amp;$B20,Inputs!$E$24:$E$31,"&lt;="&amp;$C20)+SUMIF(Inputs!$C$35:$C$40,$A20,Inputs!$B$35:$B$40)</f>
        <v/>
      </c>
      <c r="E20" s="5">
        <f>SUMIFS(Schedule!$K$5:$K$17,Schedule!$J$5:$J$17,"&gt;="&amp;$B20,Schedule!$J$5:$J$17,"&lt;="&amp;$C20)+SUMIFS(Schedule!$M$5:$M$17,Schedule!$L$5:$L$17,"&gt;="&amp;$B20,Schedule!$L$5:$L$17,"&lt;="&amp;$C20)+SUMIFS(Schedule!$S$5:$S$17,Schedule!$R$5:$R$17,"&gt;="&amp;$B20,Schedule!$R$5:$R$17,"&lt;="&amp;$C20)+SUMIFS(Schedule!$O$5:$O$17,Schedule!$N$5:$N$17,"&gt;="&amp;$B20,Schedule!$N$5:$N$17,"&lt;="&amp;$C20)+SUMIFS(Schedule!$V$5:$V$17,Schedule!$U$5:$U$17,"&gt;="&amp;$B20,Schedule!$U$5:$U$17,"&lt;="&amp;$C20)+SUMIF(Inputs!$C$44:$C$55,$A20,Inputs!$B$44:$B$55)+SUMIF(Inputs!$C$59:$C$66,$A20,Inputs!$B$59:$B$66)+Inputs!$B$21*(SUMIFS(Schedule!$F$5:$F$17,Schedule!$E$5:$E$17,"&gt;="&amp;$B20,Schedule!$E$5:$E$17,"&lt;="&amp;$C20)+SUMIFS(Schedule!$H$5:$H$17,Schedule!$G$5:$G$17,"&gt;="&amp;$B20,Schedule!$G$5:$G$17,"&lt;="&amp;$C20)+SUMIFS(Inputs!$B$24:$B$31,Inputs!$E$24:$E$31,"&gt;="&amp;$B20,Inputs!$E$24:$E$31,"&lt;="&amp;$C20))</f>
        <v/>
      </c>
      <c r="F20">
        <f>IF(A20&lt;=$D$3,1,0)</f>
        <v/>
      </c>
      <c r="G20" s="14" t="n"/>
      <c r="H20" s="14" t="n"/>
      <c r="I20" s="5">
        <f>IF(AND(F20=1,G20&lt;&gt;""),G20,D20)</f>
        <v/>
      </c>
      <c r="J20" s="5">
        <f>IF(AND(F20=1,H20&lt;&gt;""),H20,E20)</f>
        <v/>
      </c>
      <c r="K20" s="5">
        <f>IF(F20=1,I20-D20,"")</f>
        <v/>
      </c>
      <c r="L20">
        <f>IF(F20=1,IF(ROUND(K20,2)&gt;0,"Favorable",IF(ROUND(K20,2)&lt;0,"Unfavorable","On forecast")),"")</f>
        <v/>
      </c>
      <c r="M20" s="5">
        <f>IF(F20=1,J20-E20,"")</f>
        <v/>
      </c>
      <c r="N20">
        <f>IF(F20=1,IF(ROUND(M20,2)&lt;0,"Favorable",IF(ROUND(M20,2)&gt;0,"Unfavorable","On forecast")),"")</f>
        <v/>
      </c>
      <c r="O20" s="5">
        <f>I20-J20</f>
        <v/>
      </c>
      <c r="P20" s="5">
        <f>P19+O20</f>
        <v/>
      </c>
      <c r="Q20">
        <f>IF(F20=1,"Actual",IF(AND(A20&gt;$D$3,A20&lt;=$D$3+13),"Forecast",""))</f>
        <v/>
      </c>
      <c r="R20">
        <f>IF(AND(A20&gt;$D$3,A20&lt;=$D$3+13),IF(P20&lt;0,"Below zero",IF(P20&lt;Inputs!$B$7,"Below minimum","OK")),"")</f>
        <v/>
      </c>
      <c r="T20" s="5">
        <f>IF(AND(A20&gt;$D$3,A20&lt;=$D$3+13),P20,"")</f>
        <v/>
      </c>
    </row>
    <row r="21">
      <c r="A21" t="n">
        <v>6</v>
      </c>
      <c r="B21" s="4">
        <f>Inputs!$B$5+7*(A21-1)</f>
        <v/>
      </c>
      <c r="C21" s="4">
        <f>B21+6</f>
        <v/>
      </c>
      <c r="D21" s="5">
        <f>SUMIFS(Schedule!$F$5:$F$17,Schedule!$E$5:$E$17,"&gt;="&amp;$B21,Schedule!$E$5:$E$17,"&lt;="&amp;$C21)+SUMIFS(Schedule!$H$5:$H$17,Schedule!$G$5:$G$17,"&gt;="&amp;$B21,Schedule!$G$5:$G$17,"&lt;="&amp;$C21)+SUMIFS(Inputs!$B$24:$B$31,Inputs!$E$24:$E$31,"&gt;="&amp;$B21,Inputs!$E$24:$E$31,"&lt;="&amp;$C21)+SUMIF(Inputs!$C$35:$C$40,$A21,Inputs!$B$35:$B$40)</f>
        <v/>
      </c>
      <c r="E21" s="5">
        <f>SUMIFS(Schedule!$K$5:$K$17,Schedule!$J$5:$J$17,"&gt;="&amp;$B21,Schedule!$J$5:$J$17,"&lt;="&amp;$C21)+SUMIFS(Schedule!$M$5:$M$17,Schedule!$L$5:$L$17,"&gt;="&amp;$B21,Schedule!$L$5:$L$17,"&lt;="&amp;$C21)+SUMIFS(Schedule!$S$5:$S$17,Schedule!$R$5:$R$17,"&gt;="&amp;$B21,Schedule!$R$5:$R$17,"&lt;="&amp;$C21)+SUMIFS(Schedule!$O$5:$O$17,Schedule!$N$5:$N$17,"&gt;="&amp;$B21,Schedule!$N$5:$N$17,"&lt;="&amp;$C21)+SUMIFS(Schedule!$V$5:$V$17,Schedule!$U$5:$U$17,"&gt;="&amp;$B21,Schedule!$U$5:$U$17,"&lt;="&amp;$C21)+SUMIF(Inputs!$C$44:$C$55,$A21,Inputs!$B$44:$B$55)+SUMIF(Inputs!$C$59:$C$66,$A21,Inputs!$B$59:$B$66)+Inputs!$B$21*(SUMIFS(Schedule!$F$5:$F$17,Schedule!$E$5:$E$17,"&gt;="&amp;$B21,Schedule!$E$5:$E$17,"&lt;="&amp;$C21)+SUMIFS(Schedule!$H$5:$H$17,Schedule!$G$5:$G$17,"&gt;="&amp;$B21,Schedule!$G$5:$G$17,"&lt;="&amp;$C21)+SUMIFS(Inputs!$B$24:$B$31,Inputs!$E$24:$E$31,"&gt;="&amp;$B21,Inputs!$E$24:$E$31,"&lt;="&amp;$C21))</f>
        <v/>
      </c>
      <c r="F21">
        <f>IF(A21&lt;=$D$3,1,0)</f>
        <v/>
      </c>
      <c r="G21" s="14" t="n"/>
      <c r="H21" s="14" t="n"/>
      <c r="I21" s="5">
        <f>IF(AND(F21=1,G21&lt;&gt;""),G21,D21)</f>
        <v/>
      </c>
      <c r="J21" s="5">
        <f>IF(AND(F21=1,H21&lt;&gt;""),H21,E21)</f>
        <v/>
      </c>
      <c r="K21" s="5">
        <f>IF(F21=1,I21-D21,"")</f>
        <v/>
      </c>
      <c r="L21">
        <f>IF(F21=1,IF(ROUND(K21,2)&gt;0,"Favorable",IF(ROUND(K21,2)&lt;0,"Unfavorable","On forecast")),"")</f>
        <v/>
      </c>
      <c r="M21" s="5">
        <f>IF(F21=1,J21-E21,"")</f>
        <v/>
      </c>
      <c r="N21">
        <f>IF(F21=1,IF(ROUND(M21,2)&lt;0,"Favorable",IF(ROUND(M21,2)&gt;0,"Unfavorable","On forecast")),"")</f>
        <v/>
      </c>
      <c r="O21" s="5">
        <f>I21-J21</f>
        <v/>
      </c>
      <c r="P21" s="5">
        <f>P20+O21</f>
        <v/>
      </c>
      <c r="Q21">
        <f>IF(F21=1,"Actual",IF(AND(A21&gt;$D$3,A21&lt;=$D$3+13),"Forecast",""))</f>
        <v/>
      </c>
      <c r="R21">
        <f>IF(AND(A21&gt;$D$3,A21&lt;=$D$3+13),IF(P21&lt;0,"Below zero",IF(P21&lt;Inputs!$B$7,"Below minimum","OK")),"")</f>
        <v/>
      </c>
      <c r="T21" s="5">
        <f>IF(AND(A21&gt;$D$3,A21&lt;=$D$3+13),P21,"")</f>
        <v/>
      </c>
    </row>
    <row r="22">
      <c r="A22" t="n">
        <v>7</v>
      </c>
      <c r="B22" s="4">
        <f>Inputs!$B$5+7*(A22-1)</f>
        <v/>
      </c>
      <c r="C22" s="4">
        <f>B22+6</f>
        <v/>
      </c>
      <c r="D22" s="5">
        <f>SUMIFS(Schedule!$F$5:$F$17,Schedule!$E$5:$E$17,"&gt;="&amp;$B22,Schedule!$E$5:$E$17,"&lt;="&amp;$C22)+SUMIFS(Schedule!$H$5:$H$17,Schedule!$G$5:$G$17,"&gt;="&amp;$B22,Schedule!$G$5:$G$17,"&lt;="&amp;$C22)+SUMIFS(Inputs!$B$24:$B$31,Inputs!$E$24:$E$31,"&gt;="&amp;$B22,Inputs!$E$24:$E$31,"&lt;="&amp;$C22)+SUMIF(Inputs!$C$35:$C$40,$A22,Inputs!$B$35:$B$40)</f>
        <v/>
      </c>
      <c r="E22" s="5">
        <f>SUMIFS(Schedule!$K$5:$K$17,Schedule!$J$5:$J$17,"&gt;="&amp;$B22,Schedule!$J$5:$J$17,"&lt;="&amp;$C22)+SUMIFS(Schedule!$M$5:$M$17,Schedule!$L$5:$L$17,"&gt;="&amp;$B22,Schedule!$L$5:$L$17,"&lt;="&amp;$C22)+SUMIFS(Schedule!$S$5:$S$17,Schedule!$R$5:$R$17,"&gt;="&amp;$B22,Schedule!$R$5:$R$17,"&lt;="&amp;$C22)+SUMIFS(Schedule!$O$5:$O$17,Schedule!$N$5:$N$17,"&gt;="&amp;$B22,Schedule!$N$5:$N$17,"&lt;="&amp;$C22)+SUMIFS(Schedule!$V$5:$V$17,Schedule!$U$5:$U$17,"&gt;="&amp;$B22,Schedule!$U$5:$U$17,"&lt;="&amp;$C22)+SUMIF(Inputs!$C$44:$C$55,$A22,Inputs!$B$44:$B$55)+SUMIF(Inputs!$C$59:$C$66,$A22,Inputs!$B$59:$B$66)+Inputs!$B$21*(SUMIFS(Schedule!$F$5:$F$17,Schedule!$E$5:$E$17,"&gt;="&amp;$B22,Schedule!$E$5:$E$17,"&lt;="&amp;$C22)+SUMIFS(Schedule!$H$5:$H$17,Schedule!$G$5:$G$17,"&gt;="&amp;$B22,Schedule!$G$5:$G$17,"&lt;="&amp;$C22)+SUMIFS(Inputs!$B$24:$B$31,Inputs!$E$24:$E$31,"&gt;="&amp;$B22,Inputs!$E$24:$E$31,"&lt;="&amp;$C22))</f>
        <v/>
      </c>
      <c r="F22">
        <f>IF(A22&lt;=$D$3,1,0)</f>
        <v/>
      </c>
      <c r="G22" s="14" t="n"/>
      <c r="H22" s="14" t="n"/>
      <c r="I22" s="5">
        <f>IF(AND(F22=1,G22&lt;&gt;""),G22,D22)</f>
        <v/>
      </c>
      <c r="J22" s="5">
        <f>IF(AND(F22=1,H22&lt;&gt;""),H22,E22)</f>
        <v/>
      </c>
      <c r="K22" s="5">
        <f>IF(F22=1,I22-D22,"")</f>
        <v/>
      </c>
      <c r="L22">
        <f>IF(F22=1,IF(ROUND(K22,2)&gt;0,"Favorable",IF(ROUND(K22,2)&lt;0,"Unfavorable","On forecast")),"")</f>
        <v/>
      </c>
      <c r="M22" s="5">
        <f>IF(F22=1,J22-E22,"")</f>
        <v/>
      </c>
      <c r="N22">
        <f>IF(F22=1,IF(ROUND(M22,2)&lt;0,"Favorable",IF(ROUND(M22,2)&gt;0,"Unfavorable","On forecast")),"")</f>
        <v/>
      </c>
      <c r="O22" s="5">
        <f>I22-J22</f>
        <v/>
      </c>
      <c r="P22" s="5">
        <f>P21+O22</f>
        <v/>
      </c>
      <c r="Q22">
        <f>IF(F22=1,"Actual",IF(AND(A22&gt;$D$3,A22&lt;=$D$3+13),"Forecast",""))</f>
        <v/>
      </c>
      <c r="R22">
        <f>IF(AND(A22&gt;$D$3,A22&lt;=$D$3+13),IF(P22&lt;0,"Below zero",IF(P22&lt;Inputs!$B$7,"Below minimum","OK")),"")</f>
        <v/>
      </c>
      <c r="T22" s="5">
        <f>IF(AND(A22&gt;$D$3,A22&lt;=$D$3+13),P22,"")</f>
        <v/>
      </c>
    </row>
    <row r="23">
      <c r="A23" t="n">
        <v>8</v>
      </c>
      <c r="B23" s="4">
        <f>Inputs!$B$5+7*(A23-1)</f>
        <v/>
      </c>
      <c r="C23" s="4">
        <f>B23+6</f>
        <v/>
      </c>
      <c r="D23" s="5">
        <f>SUMIFS(Schedule!$F$5:$F$17,Schedule!$E$5:$E$17,"&gt;="&amp;$B23,Schedule!$E$5:$E$17,"&lt;="&amp;$C23)+SUMIFS(Schedule!$H$5:$H$17,Schedule!$G$5:$G$17,"&gt;="&amp;$B23,Schedule!$G$5:$G$17,"&lt;="&amp;$C23)+SUMIFS(Inputs!$B$24:$B$31,Inputs!$E$24:$E$31,"&gt;="&amp;$B23,Inputs!$E$24:$E$31,"&lt;="&amp;$C23)+SUMIF(Inputs!$C$35:$C$40,$A23,Inputs!$B$35:$B$40)</f>
        <v/>
      </c>
      <c r="E23" s="5">
        <f>SUMIFS(Schedule!$K$5:$K$17,Schedule!$J$5:$J$17,"&gt;="&amp;$B23,Schedule!$J$5:$J$17,"&lt;="&amp;$C23)+SUMIFS(Schedule!$M$5:$M$17,Schedule!$L$5:$L$17,"&gt;="&amp;$B23,Schedule!$L$5:$L$17,"&lt;="&amp;$C23)+SUMIFS(Schedule!$S$5:$S$17,Schedule!$R$5:$R$17,"&gt;="&amp;$B23,Schedule!$R$5:$R$17,"&lt;="&amp;$C23)+SUMIFS(Schedule!$O$5:$O$17,Schedule!$N$5:$N$17,"&gt;="&amp;$B23,Schedule!$N$5:$N$17,"&lt;="&amp;$C23)+SUMIFS(Schedule!$V$5:$V$17,Schedule!$U$5:$U$17,"&gt;="&amp;$B23,Schedule!$U$5:$U$17,"&lt;="&amp;$C23)+SUMIF(Inputs!$C$44:$C$55,$A23,Inputs!$B$44:$B$55)+SUMIF(Inputs!$C$59:$C$66,$A23,Inputs!$B$59:$B$66)+Inputs!$B$21*(SUMIFS(Schedule!$F$5:$F$17,Schedule!$E$5:$E$17,"&gt;="&amp;$B23,Schedule!$E$5:$E$17,"&lt;="&amp;$C23)+SUMIFS(Schedule!$H$5:$H$17,Schedule!$G$5:$G$17,"&gt;="&amp;$B23,Schedule!$G$5:$G$17,"&lt;="&amp;$C23)+SUMIFS(Inputs!$B$24:$B$31,Inputs!$E$24:$E$31,"&gt;="&amp;$B23,Inputs!$E$24:$E$31,"&lt;="&amp;$C23))</f>
        <v/>
      </c>
      <c r="F23">
        <f>IF(A23&lt;=$D$3,1,0)</f>
        <v/>
      </c>
      <c r="G23" s="14" t="n"/>
      <c r="H23" s="14" t="n"/>
      <c r="I23" s="5">
        <f>IF(AND(F23=1,G23&lt;&gt;""),G23,D23)</f>
        <v/>
      </c>
      <c r="J23" s="5">
        <f>IF(AND(F23=1,H23&lt;&gt;""),H23,E23)</f>
        <v/>
      </c>
      <c r="K23" s="5">
        <f>IF(F23=1,I23-D23,"")</f>
        <v/>
      </c>
      <c r="L23">
        <f>IF(F23=1,IF(ROUND(K23,2)&gt;0,"Favorable",IF(ROUND(K23,2)&lt;0,"Unfavorable","On forecast")),"")</f>
        <v/>
      </c>
      <c r="M23" s="5">
        <f>IF(F23=1,J23-E23,"")</f>
        <v/>
      </c>
      <c r="N23">
        <f>IF(F23=1,IF(ROUND(M23,2)&lt;0,"Favorable",IF(ROUND(M23,2)&gt;0,"Unfavorable","On forecast")),"")</f>
        <v/>
      </c>
      <c r="O23" s="5">
        <f>I23-J23</f>
        <v/>
      </c>
      <c r="P23" s="5">
        <f>P22+O23</f>
        <v/>
      </c>
      <c r="Q23">
        <f>IF(F23=1,"Actual",IF(AND(A23&gt;$D$3,A23&lt;=$D$3+13),"Forecast",""))</f>
        <v/>
      </c>
      <c r="R23">
        <f>IF(AND(A23&gt;$D$3,A23&lt;=$D$3+13),IF(P23&lt;0,"Below zero",IF(P23&lt;Inputs!$B$7,"Below minimum","OK")),"")</f>
        <v/>
      </c>
      <c r="T23" s="5">
        <f>IF(AND(A23&gt;$D$3,A23&lt;=$D$3+13),P23,"")</f>
        <v/>
      </c>
    </row>
    <row r="24">
      <c r="A24" t="n">
        <v>9</v>
      </c>
      <c r="B24" s="4">
        <f>Inputs!$B$5+7*(A24-1)</f>
        <v/>
      </c>
      <c r="C24" s="4">
        <f>B24+6</f>
        <v/>
      </c>
      <c r="D24" s="5">
        <f>SUMIFS(Schedule!$F$5:$F$17,Schedule!$E$5:$E$17,"&gt;="&amp;$B24,Schedule!$E$5:$E$17,"&lt;="&amp;$C24)+SUMIFS(Schedule!$H$5:$H$17,Schedule!$G$5:$G$17,"&gt;="&amp;$B24,Schedule!$G$5:$G$17,"&lt;="&amp;$C24)+SUMIFS(Inputs!$B$24:$B$31,Inputs!$E$24:$E$31,"&gt;="&amp;$B24,Inputs!$E$24:$E$31,"&lt;="&amp;$C24)+SUMIF(Inputs!$C$35:$C$40,$A24,Inputs!$B$35:$B$40)</f>
        <v/>
      </c>
      <c r="E24" s="5">
        <f>SUMIFS(Schedule!$K$5:$K$17,Schedule!$J$5:$J$17,"&gt;="&amp;$B24,Schedule!$J$5:$J$17,"&lt;="&amp;$C24)+SUMIFS(Schedule!$M$5:$M$17,Schedule!$L$5:$L$17,"&gt;="&amp;$B24,Schedule!$L$5:$L$17,"&lt;="&amp;$C24)+SUMIFS(Schedule!$S$5:$S$17,Schedule!$R$5:$R$17,"&gt;="&amp;$B24,Schedule!$R$5:$R$17,"&lt;="&amp;$C24)+SUMIFS(Schedule!$O$5:$O$17,Schedule!$N$5:$N$17,"&gt;="&amp;$B24,Schedule!$N$5:$N$17,"&lt;="&amp;$C24)+SUMIFS(Schedule!$V$5:$V$17,Schedule!$U$5:$U$17,"&gt;="&amp;$B24,Schedule!$U$5:$U$17,"&lt;="&amp;$C24)+SUMIF(Inputs!$C$44:$C$55,$A24,Inputs!$B$44:$B$55)+SUMIF(Inputs!$C$59:$C$66,$A24,Inputs!$B$59:$B$66)+Inputs!$B$21*(SUMIFS(Schedule!$F$5:$F$17,Schedule!$E$5:$E$17,"&gt;="&amp;$B24,Schedule!$E$5:$E$17,"&lt;="&amp;$C24)+SUMIFS(Schedule!$H$5:$H$17,Schedule!$G$5:$G$17,"&gt;="&amp;$B24,Schedule!$G$5:$G$17,"&lt;="&amp;$C24)+SUMIFS(Inputs!$B$24:$B$31,Inputs!$E$24:$E$31,"&gt;="&amp;$B24,Inputs!$E$24:$E$31,"&lt;="&amp;$C24))</f>
        <v/>
      </c>
      <c r="F24">
        <f>IF(A24&lt;=$D$3,1,0)</f>
        <v/>
      </c>
      <c r="G24" s="14" t="n"/>
      <c r="H24" s="14" t="n"/>
      <c r="I24" s="5">
        <f>IF(AND(F24=1,G24&lt;&gt;""),G24,D24)</f>
        <v/>
      </c>
      <c r="J24" s="5">
        <f>IF(AND(F24=1,H24&lt;&gt;""),H24,E24)</f>
        <v/>
      </c>
      <c r="K24" s="5">
        <f>IF(F24=1,I24-D24,"")</f>
        <v/>
      </c>
      <c r="L24">
        <f>IF(F24=1,IF(ROUND(K24,2)&gt;0,"Favorable",IF(ROUND(K24,2)&lt;0,"Unfavorable","On forecast")),"")</f>
        <v/>
      </c>
      <c r="M24" s="5">
        <f>IF(F24=1,J24-E24,"")</f>
        <v/>
      </c>
      <c r="N24">
        <f>IF(F24=1,IF(ROUND(M24,2)&lt;0,"Favorable",IF(ROUND(M24,2)&gt;0,"Unfavorable","On forecast")),"")</f>
        <v/>
      </c>
      <c r="O24" s="5">
        <f>I24-J24</f>
        <v/>
      </c>
      <c r="P24" s="5">
        <f>P23+O24</f>
        <v/>
      </c>
      <c r="Q24">
        <f>IF(F24=1,"Actual",IF(AND(A24&gt;$D$3,A24&lt;=$D$3+13),"Forecast",""))</f>
        <v/>
      </c>
      <c r="R24">
        <f>IF(AND(A24&gt;$D$3,A24&lt;=$D$3+13),IF(P24&lt;0,"Below zero",IF(P24&lt;Inputs!$B$7,"Below minimum","OK")),"")</f>
        <v/>
      </c>
      <c r="T24" s="5">
        <f>IF(AND(A24&gt;$D$3,A24&lt;=$D$3+13),P24,"")</f>
        <v/>
      </c>
    </row>
    <row r="25">
      <c r="A25" t="n">
        <v>10</v>
      </c>
      <c r="B25" s="4">
        <f>Inputs!$B$5+7*(A25-1)</f>
        <v/>
      </c>
      <c r="C25" s="4">
        <f>B25+6</f>
        <v/>
      </c>
      <c r="D25" s="5">
        <f>SUMIFS(Schedule!$F$5:$F$17,Schedule!$E$5:$E$17,"&gt;="&amp;$B25,Schedule!$E$5:$E$17,"&lt;="&amp;$C25)+SUMIFS(Schedule!$H$5:$H$17,Schedule!$G$5:$G$17,"&gt;="&amp;$B25,Schedule!$G$5:$G$17,"&lt;="&amp;$C25)+SUMIFS(Inputs!$B$24:$B$31,Inputs!$E$24:$E$31,"&gt;="&amp;$B25,Inputs!$E$24:$E$31,"&lt;="&amp;$C25)+SUMIF(Inputs!$C$35:$C$40,$A25,Inputs!$B$35:$B$40)</f>
        <v/>
      </c>
      <c r="E25" s="5">
        <f>SUMIFS(Schedule!$K$5:$K$17,Schedule!$J$5:$J$17,"&gt;="&amp;$B25,Schedule!$J$5:$J$17,"&lt;="&amp;$C25)+SUMIFS(Schedule!$M$5:$M$17,Schedule!$L$5:$L$17,"&gt;="&amp;$B25,Schedule!$L$5:$L$17,"&lt;="&amp;$C25)+SUMIFS(Schedule!$S$5:$S$17,Schedule!$R$5:$R$17,"&gt;="&amp;$B25,Schedule!$R$5:$R$17,"&lt;="&amp;$C25)+SUMIFS(Schedule!$O$5:$O$17,Schedule!$N$5:$N$17,"&gt;="&amp;$B25,Schedule!$N$5:$N$17,"&lt;="&amp;$C25)+SUMIFS(Schedule!$V$5:$V$17,Schedule!$U$5:$U$17,"&gt;="&amp;$B25,Schedule!$U$5:$U$17,"&lt;="&amp;$C25)+SUMIF(Inputs!$C$44:$C$55,$A25,Inputs!$B$44:$B$55)+SUMIF(Inputs!$C$59:$C$66,$A25,Inputs!$B$59:$B$66)+Inputs!$B$21*(SUMIFS(Schedule!$F$5:$F$17,Schedule!$E$5:$E$17,"&gt;="&amp;$B25,Schedule!$E$5:$E$17,"&lt;="&amp;$C25)+SUMIFS(Schedule!$H$5:$H$17,Schedule!$G$5:$G$17,"&gt;="&amp;$B25,Schedule!$G$5:$G$17,"&lt;="&amp;$C25)+SUMIFS(Inputs!$B$24:$B$31,Inputs!$E$24:$E$31,"&gt;="&amp;$B25,Inputs!$E$24:$E$31,"&lt;="&amp;$C25))</f>
        <v/>
      </c>
      <c r="F25">
        <f>IF(A25&lt;=$D$3,1,0)</f>
        <v/>
      </c>
      <c r="G25" s="14" t="n"/>
      <c r="H25" s="14" t="n"/>
      <c r="I25" s="5">
        <f>IF(AND(F25=1,G25&lt;&gt;""),G25,D25)</f>
        <v/>
      </c>
      <c r="J25" s="5">
        <f>IF(AND(F25=1,H25&lt;&gt;""),H25,E25)</f>
        <v/>
      </c>
      <c r="K25" s="5">
        <f>IF(F25=1,I25-D25,"")</f>
        <v/>
      </c>
      <c r="L25">
        <f>IF(F25=1,IF(ROUND(K25,2)&gt;0,"Favorable",IF(ROUND(K25,2)&lt;0,"Unfavorable","On forecast")),"")</f>
        <v/>
      </c>
      <c r="M25" s="5">
        <f>IF(F25=1,J25-E25,"")</f>
        <v/>
      </c>
      <c r="N25">
        <f>IF(F25=1,IF(ROUND(M25,2)&lt;0,"Favorable",IF(ROUND(M25,2)&gt;0,"Unfavorable","On forecast")),"")</f>
        <v/>
      </c>
      <c r="O25" s="5">
        <f>I25-J25</f>
        <v/>
      </c>
      <c r="P25" s="5">
        <f>P24+O25</f>
        <v/>
      </c>
      <c r="Q25">
        <f>IF(F25=1,"Actual",IF(AND(A25&gt;$D$3,A25&lt;=$D$3+13),"Forecast",""))</f>
        <v/>
      </c>
      <c r="R25">
        <f>IF(AND(A25&gt;$D$3,A25&lt;=$D$3+13),IF(P25&lt;0,"Below zero",IF(P25&lt;Inputs!$B$7,"Below minimum","OK")),"")</f>
        <v/>
      </c>
      <c r="T25" s="5">
        <f>IF(AND(A25&gt;$D$3,A25&lt;=$D$3+13),P25,"")</f>
        <v/>
      </c>
    </row>
    <row r="26">
      <c r="A26" t="n">
        <v>11</v>
      </c>
      <c r="B26" s="4">
        <f>Inputs!$B$5+7*(A26-1)</f>
        <v/>
      </c>
      <c r="C26" s="4">
        <f>B26+6</f>
        <v/>
      </c>
      <c r="D26" s="5">
        <f>SUMIFS(Schedule!$F$5:$F$17,Schedule!$E$5:$E$17,"&gt;="&amp;$B26,Schedule!$E$5:$E$17,"&lt;="&amp;$C26)+SUMIFS(Schedule!$H$5:$H$17,Schedule!$G$5:$G$17,"&gt;="&amp;$B26,Schedule!$G$5:$G$17,"&lt;="&amp;$C26)+SUMIFS(Inputs!$B$24:$B$31,Inputs!$E$24:$E$31,"&gt;="&amp;$B26,Inputs!$E$24:$E$31,"&lt;="&amp;$C26)+SUMIF(Inputs!$C$35:$C$40,$A26,Inputs!$B$35:$B$40)</f>
        <v/>
      </c>
      <c r="E26" s="5">
        <f>SUMIFS(Schedule!$K$5:$K$17,Schedule!$J$5:$J$17,"&gt;="&amp;$B26,Schedule!$J$5:$J$17,"&lt;="&amp;$C26)+SUMIFS(Schedule!$M$5:$M$17,Schedule!$L$5:$L$17,"&gt;="&amp;$B26,Schedule!$L$5:$L$17,"&lt;="&amp;$C26)+SUMIFS(Schedule!$S$5:$S$17,Schedule!$R$5:$R$17,"&gt;="&amp;$B26,Schedule!$R$5:$R$17,"&lt;="&amp;$C26)+SUMIFS(Schedule!$O$5:$O$17,Schedule!$N$5:$N$17,"&gt;="&amp;$B26,Schedule!$N$5:$N$17,"&lt;="&amp;$C26)+SUMIFS(Schedule!$V$5:$V$17,Schedule!$U$5:$U$17,"&gt;="&amp;$B26,Schedule!$U$5:$U$17,"&lt;="&amp;$C26)+SUMIF(Inputs!$C$44:$C$55,$A26,Inputs!$B$44:$B$55)+SUMIF(Inputs!$C$59:$C$66,$A26,Inputs!$B$59:$B$66)+Inputs!$B$21*(SUMIFS(Schedule!$F$5:$F$17,Schedule!$E$5:$E$17,"&gt;="&amp;$B26,Schedule!$E$5:$E$17,"&lt;="&amp;$C26)+SUMIFS(Schedule!$H$5:$H$17,Schedule!$G$5:$G$17,"&gt;="&amp;$B26,Schedule!$G$5:$G$17,"&lt;="&amp;$C26)+SUMIFS(Inputs!$B$24:$B$31,Inputs!$E$24:$E$31,"&gt;="&amp;$B26,Inputs!$E$24:$E$31,"&lt;="&amp;$C26))</f>
        <v/>
      </c>
      <c r="F26">
        <f>IF(A26&lt;=$D$3,1,0)</f>
        <v/>
      </c>
      <c r="G26" s="14" t="n"/>
      <c r="H26" s="14" t="n"/>
      <c r="I26" s="5">
        <f>IF(AND(F26=1,G26&lt;&gt;""),G26,D26)</f>
        <v/>
      </c>
      <c r="J26" s="5">
        <f>IF(AND(F26=1,H26&lt;&gt;""),H26,E26)</f>
        <v/>
      </c>
      <c r="K26" s="5">
        <f>IF(F26=1,I26-D26,"")</f>
        <v/>
      </c>
      <c r="L26">
        <f>IF(F26=1,IF(ROUND(K26,2)&gt;0,"Favorable",IF(ROUND(K26,2)&lt;0,"Unfavorable","On forecast")),"")</f>
        <v/>
      </c>
      <c r="M26" s="5">
        <f>IF(F26=1,J26-E26,"")</f>
        <v/>
      </c>
      <c r="N26">
        <f>IF(F26=1,IF(ROUND(M26,2)&lt;0,"Favorable",IF(ROUND(M26,2)&gt;0,"Unfavorable","On forecast")),"")</f>
        <v/>
      </c>
      <c r="O26" s="5">
        <f>I26-J26</f>
        <v/>
      </c>
      <c r="P26" s="5">
        <f>P25+O26</f>
        <v/>
      </c>
      <c r="Q26">
        <f>IF(F26=1,"Actual",IF(AND(A26&gt;$D$3,A26&lt;=$D$3+13),"Forecast",""))</f>
        <v/>
      </c>
      <c r="R26">
        <f>IF(AND(A26&gt;$D$3,A26&lt;=$D$3+13),IF(P26&lt;0,"Below zero",IF(P26&lt;Inputs!$B$7,"Below minimum","OK")),"")</f>
        <v/>
      </c>
      <c r="T26" s="5">
        <f>IF(AND(A26&gt;$D$3,A26&lt;=$D$3+13),P26,"")</f>
        <v/>
      </c>
    </row>
    <row r="27">
      <c r="A27" t="n">
        <v>12</v>
      </c>
      <c r="B27" s="4">
        <f>Inputs!$B$5+7*(A27-1)</f>
        <v/>
      </c>
      <c r="C27" s="4">
        <f>B27+6</f>
        <v/>
      </c>
      <c r="D27" s="5">
        <f>SUMIFS(Schedule!$F$5:$F$17,Schedule!$E$5:$E$17,"&gt;="&amp;$B27,Schedule!$E$5:$E$17,"&lt;="&amp;$C27)+SUMIFS(Schedule!$H$5:$H$17,Schedule!$G$5:$G$17,"&gt;="&amp;$B27,Schedule!$G$5:$G$17,"&lt;="&amp;$C27)+SUMIFS(Inputs!$B$24:$B$31,Inputs!$E$24:$E$31,"&gt;="&amp;$B27,Inputs!$E$24:$E$31,"&lt;="&amp;$C27)+SUMIF(Inputs!$C$35:$C$40,$A27,Inputs!$B$35:$B$40)</f>
        <v/>
      </c>
      <c r="E27" s="5">
        <f>SUMIFS(Schedule!$K$5:$K$17,Schedule!$J$5:$J$17,"&gt;="&amp;$B27,Schedule!$J$5:$J$17,"&lt;="&amp;$C27)+SUMIFS(Schedule!$M$5:$M$17,Schedule!$L$5:$L$17,"&gt;="&amp;$B27,Schedule!$L$5:$L$17,"&lt;="&amp;$C27)+SUMIFS(Schedule!$S$5:$S$17,Schedule!$R$5:$R$17,"&gt;="&amp;$B27,Schedule!$R$5:$R$17,"&lt;="&amp;$C27)+SUMIFS(Schedule!$O$5:$O$17,Schedule!$N$5:$N$17,"&gt;="&amp;$B27,Schedule!$N$5:$N$17,"&lt;="&amp;$C27)+SUMIFS(Schedule!$V$5:$V$17,Schedule!$U$5:$U$17,"&gt;="&amp;$B27,Schedule!$U$5:$U$17,"&lt;="&amp;$C27)+SUMIF(Inputs!$C$44:$C$55,$A27,Inputs!$B$44:$B$55)+SUMIF(Inputs!$C$59:$C$66,$A27,Inputs!$B$59:$B$66)+Inputs!$B$21*(SUMIFS(Schedule!$F$5:$F$17,Schedule!$E$5:$E$17,"&gt;="&amp;$B27,Schedule!$E$5:$E$17,"&lt;="&amp;$C27)+SUMIFS(Schedule!$H$5:$H$17,Schedule!$G$5:$G$17,"&gt;="&amp;$B27,Schedule!$G$5:$G$17,"&lt;="&amp;$C27)+SUMIFS(Inputs!$B$24:$B$31,Inputs!$E$24:$E$31,"&gt;="&amp;$B27,Inputs!$E$24:$E$31,"&lt;="&amp;$C27))</f>
        <v/>
      </c>
      <c r="F27">
        <f>IF(A27&lt;=$D$3,1,0)</f>
        <v/>
      </c>
      <c r="G27" s="14" t="n"/>
      <c r="H27" s="14" t="n"/>
      <c r="I27" s="5">
        <f>IF(AND(F27=1,G27&lt;&gt;""),G27,D27)</f>
        <v/>
      </c>
      <c r="J27" s="5">
        <f>IF(AND(F27=1,H27&lt;&gt;""),H27,E27)</f>
        <v/>
      </c>
      <c r="K27" s="5">
        <f>IF(F27=1,I27-D27,"")</f>
        <v/>
      </c>
      <c r="L27">
        <f>IF(F27=1,IF(ROUND(K27,2)&gt;0,"Favorable",IF(ROUND(K27,2)&lt;0,"Unfavorable","On forecast")),"")</f>
        <v/>
      </c>
      <c r="M27" s="5">
        <f>IF(F27=1,J27-E27,"")</f>
        <v/>
      </c>
      <c r="N27">
        <f>IF(F27=1,IF(ROUND(M27,2)&lt;0,"Favorable",IF(ROUND(M27,2)&gt;0,"Unfavorable","On forecast")),"")</f>
        <v/>
      </c>
      <c r="O27" s="5">
        <f>I27-J27</f>
        <v/>
      </c>
      <c r="P27" s="5">
        <f>P26+O27</f>
        <v/>
      </c>
      <c r="Q27">
        <f>IF(F27=1,"Actual",IF(AND(A27&gt;$D$3,A27&lt;=$D$3+13),"Forecast",""))</f>
        <v/>
      </c>
      <c r="R27">
        <f>IF(AND(A27&gt;$D$3,A27&lt;=$D$3+13),IF(P27&lt;0,"Below zero",IF(P27&lt;Inputs!$B$7,"Below minimum","OK")),"")</f>
        <v/>
      </c>
      <c r="T27" s="5">
        <f>IF(AND(A27&gt;$D$3,A27&lt;=$D$3+13),P27,"")</f>
        <v/>
      </c>
    </row>
    <row r="28">
      <c r="A28" t="n">
        <v>13</v>
      </c>
      <c r="B28" s="4">
        <f>Inputs!$B$5+7*(A28-1)</f>
        <v/>
      </c>
      <c r="C28" s="4">
        <f>B28+6</f>
        <v/>
      </c>
      <c r="D28" s="5">
        <f>SUMIFS(Schedule!$F$5:$F$17,Schedule!$E$5:$E$17,"&gt;="&amp;$B28,Schedule!$E$5:$E$17,"&lt;="&amp;$C28)+SUMIFS(Schedule!$H$5:$H$17,Schedule!$G$5:$G$17,"&gt;="&amp;$B28,Schedule!$G$5:$G$17,"&lt;="&amp;$C28)+SUMIFS(Inputs!$B$24:$B$31,Inputs!$E$24:$E$31,"&gt;="&amp;$B28,Inputs!$E$24:$E$31,"&lt;="&amp;$C28)+SUMIF(Inputs!$C$35:$C$40,$A28,Inputs!$B$35:$B$40)</f>
        <v/>
      </c>
      <c r="E28" s="5">
        <f>SUMIFS(Schedule!$K$5:$K$17,Schedule!$J$5:$J$17,"&gt;="&amp;$B28,Schedule!$J$5:$J$17,"&lt;="&amp;$C28)+SUMIFS(Schedule!$M$5:$M$17,Schedule!$L$5:$L$17,"&gt;="&amp;$B28,Schedule!$L$5:$L$17,"&lt;="&amp;$C28)+SUMIFS(Schedule!$S$5:$S$17,Schedule!$R$5:$R$17,"&gt;="&amp;$B28,Schedule!$R$5:$R$17,"&lt;="&amp;$C28)+SUMIFS(Schedule!$O$5:$O$17,Schedule!$N$5:$N$17,"&gt;="&amp;$B28,Schedule!$N$5:$N$17,"&lt;="&amp;$C28)+SUMIFS(Schedule!$V$5:$V$17,Schedule!$U$5:$U$17,"&gt;="&amp;$B28,Schedule!$U$5:$U$17,"&lt;="&amp;$C28)+SUMIF(Inputs!$C$44:$C$55,$A28,Inputs!$B$44:$B$55)+SUMIF(Inputs!$C$59:$C$66,$A28,Inputs!$B$59:$B$66)+Inputs!$B$21*(SUMIFS(Schedule!$F$5:$F$17,Schedule!$E$5:$E$17,"&gt;="&amp;$B28,Schedule!$E$5:$E$17,"&lt;="&amp;$C28)+SUMIFS(Schedule!$H$5:$H$17,Schedule!$G$5:$G$17,"&gt;="&amp;$B28,Schedule!$G$5:$G$17,"&lt;="&amp;$C28)+SUMIFS(Inputs!$B$24:$B$31,Inputs!$E$24:$E$31,"&gt;="&amp;$B28,Inputs!$E$24:$E$31,"&lt;="&amp;$C28))</f>
        <v/>
      </c>
      <c r="F28">
        <f>IF(A28&lt;=$D$3,1,0)</f>
        <v/>
      </c>
      <c r="G28" s="14" t="n"/>
      <c r="H28" s="14" t="n"/>
      <c r="I28" s="5">
        <f>IF(AND(F28=1,G28&lt;&gt;""),G28,D28)</f>
        <v/>
      </c>
      <c r="J28" s="5">
        <f>IF(AND(F28=1,H28&lt;&gt;""),H28,E28)</f>
        <v/>
      </c>
      <c r="K28" s="5">
        <f>IF(F28=1,I28-D28,"")</f>
        <v/>
      </c>
      <c r="L28">
        <f>IF(F28=1,IF(ROUND(K28,2)&gt;0,"Favorable",IF(ROUND(K28,2)&lt;0,"Unfavorable","On forecast")),"")</f>
        <v/>
      </c>
      <c r="M28" s="5">
        <f>IF(F28=1,J28-E28,"")</f>
        <v/>
      </c>
      <c r="N28">
        <f>IF(F28=1,IF(ROUND(M28,2)&lt;0,"Favorable",IF(ROUND(M28,2)&gt;0,"Unfavorable","On forecast")),"")</f>
        <v/>
      </c>
      <c r="O28" s="5">
        <f>I28-J28</f>
        <v/>
      </c>
      <c r="P28" s="5">
        <f>P27+O28</f>
        <v/>
      </c>
      <c r="Q28">
        <f>IF(F28=1,"Actual",IF(AND(A28&gt;$D$3,A28&lt;=$D$3+13),"Forecast",""))</f>
        <v/>
      </c>
      <c r="R28">
        <f>IF(AND(A28&gt;$D$3,A28&lt;=$D$3+13),IF(P28&lt;0,"Below zero",IF(P28&lt;Inputs!$B$7,"Below minimum","OK")),"")</f>
        <v/>
      </c>
      <c r="T28" s="5">
        <f>IF(AND(A28&gt;$D$3,A28&lt;=$D$3+13),P28,"")</f>
        <v/>
      </c>
    </row>
    <row r="29">
      <c r="A29" t="n">
        <v>14</v>
      </c>
      <c r="B29" s="4">
        <f>Inputs!$B$5+7*(A29-1)</f>
        <v/>
      </c>
      <c r="C29" s="4">
        <f>B29+6</f>
        <v/>
      </c>
      <c r="D29" s="5">
        <f>SUMIFS(Schedule!$F$5:$F$17,Schedule!$E$5:$E$17,"&gt;="&amp;$B29,Schedule!$E$5:$E$17,"&lt;="&amp;$C29)+SUMIFS(Schedule!$H$5:$H$17,Schedule!$G$5:$G$17,"&gt;="&amp;$B29,Schedule!$G$5:$G$17,"&lt;="&amp;$C29)+SUMIFS(Inputs!$B$24:$B$31,Inputs!$E$24:$E$31,"&gt;="&amp;$B29,Inputs!$E$24:$E$31,"&lt;="&amp;$C29)+SUMIF(Inputs!$C$35:$C$40,$A29,Inputs!$B$35:$B$40)</f>
        <v/>
      </c>
      <c r="E29" s="5">
        <f>SUMIFS(Schedule!$K$5:$K$17,Schedule!$J$5:$J$17,"&gt;="&amp;$B29,Schedule!$J$5:$J$17,"&lt;="&amp;$C29)+SUMIFS(Schedule!$M$5:$M$17,Schedule!$L$5:$L$17,"&gt;="&amp;$B29,Schedule!$L$5:$L$17,"&lt;="&amp;$C29)+SUMIFS(Schedule!$S$5:$S$17,Schedule!$R$5:$R$17,"&gt;="&amp;$B29,Schedule!$R$5:$R$17,"&lt;="&amp;$C29)+SUMIFS(Schedule!$O$5:$O$17,Schedule!$N$5:$N$17,"&gt;="&amp;$B29,Schedule!$N$5:$N$17,"&lt;="&amp;$C29)+SUMIFS(Schedule!$V$5:$V$17,Schedule!$U$5:$U$17,"&gt;="&amp;$B29,Schedule!$U$5:$U$17,"&lt;="&amp;$C29)+SUMIF(Inputs!$C$44:$C$55,$A29,Inputs!$B$44:$B$55)+SUMIF(Inputs!$C$59:$C$66,$A29,Inputs!$B$59:$B$66)+Inputs!$B$21*(SUMIFS(Schedule!$F$5:$F$17,Schedule!$E$5:$E$17,"&gt;="&amp;$B29,Schedule!$E$5:$E$17,"&lt;="&amp;$C29)+SUMIFS(Schedule!$H$5:$H$17,Schedule!$G$5:$G$17,"&gt;="&amp;$B29,Schedule!$G$5:$G$17,"&lt;="&amp;$C29)+SUMIFS(Inputs!$B$24:$B$31,Inputs!$E$24:$E$31,"&gt;="&amp;$B29,Inputs!$E$24:$E$31,"&lt;="&amp;$C29))</f>
        <v/>
      </c>
      <c r="F29">
        <f>IF(A29&lt;=$D$3,1,0)</f>
        <v/>
      </c>
      <c r="I29" s="5">
        <f>IF(AND(F29=1,G29&lt;&gt;""),G29,D29)</f>
        <v/>
      </c>
      <c r="J29" s="5">
        <f>IF(AND(F29=1,H29&lt;&gt;""),H29,E29)</f>
        <v/>
      </c>
      <c r="K29" s="5">
        <f>IF(F29=1,I29-D29,"")</f>
        <v/>
      </c>
      <c r="L29">
        <f>IF(F29=1,IF(ROUND(K29,2)&gt;0,"Favorable",IF(ROUND(K29,2)&lt;0,"Unfavorable","On forecast")),"")</f>
        <v/>
      </c>
      <c r="M29" s="5">
        <f>IF(F29=1,J29-E29,"")</f>
        <v/>
      </c>
      <c r="N29">
        <f>IF(F29=1,IF(ROUND(M29,2)&lt;0,"Favorable",IF(ROUND(M29,2)&gt;0,"Unfavorable","On forecast")),"")</f>
        <v/>
      </c>
      <c r="O29" s="5">
        <f>I29-J29</f>
        <v/>
      </c>
      <c r="P29" s="5">
        <f>P28+O29</f>
        <v/>
      </c>
      <c r="Q29">
        <f>IF(F29=1,"Actual",IF(AND(A29&gt;$D$3,A29&lt;=$D$3+13),"Forecast",""))</f>
        <v/>
      </c>
      <c r="R29">
        <f>IF(AND(A29&gt;$D$3,A29&lt;=$D$3+13),IF(P29&lt;0,"Below zero",IF(P29&lt;Inputs!$B$7,"Below minimum","OK")),"")</f>
        <v/>
      </c>
      <c r="T29" s="5">
        <f>IF(AND(A29&gt;$D$3,A29&lt;=$D$3+13),P29,"")</f>
        <v/>
      </c>
    </row>
    <row r="30">
      <c r="A30" t="n">
        <v>15</v>
      </c>
      <c r="B30" s="4">
        <f>Inputs!$B$5+7*(A30-1)</f>
        <v/>
      </c>
      <c r="C30" s="4">
        <f>B30+6</f>
        <v/>
      </c>
      <c r="D30" s="5">
        <f>SUMIFS(Schedule!$F$5:$F$17,Schedule!$E$5:$E$17,"&gt;="&amp;$B30,Schedule!$E$5:$E$17,"&lt;="&amp;$C30)+SUMIFS(Schedule!$H$5:$H$17,Schedule!$G$5:$G$17,"&gt;="&amp;$B30,Schedule!$G$5:$G$17,"&lt;="&amp;$C30)+SUMIFS(Inputs!$B$24:$B$31,Inputs!$E$24:$E$31,"&gt;="&amp;$B30,Inputs!$E$24:$E$31,"&lt;="&amp;$C30)+SUMIF(Inputs!$C$35:$C$40,$A30,Inputs!$B$35:$B$40)</f>
        <v/>
      </c>
      <c r="E30" s="5">
        <f>SUMIFS(Schedule!$K$5:$K$17,Schedule!$J$5:$J$17,"&gt;="&amp;$B30,Schedule!$J$5:$J$17,"&lt;="&amp;$C30)+SUMIFS(Schedule!$M$5:$M$17,Schedule!$L$5:$L$17,"&gt;="&amp;$B30,Schedule!$L$5:$L$17,"&lt;="&amp;$C30)+SUMIFS(Schedule!$S$5:$S$17,Schedule!$R$5:$R$17,"&gt;="&amp;$B30,Schedule!$R$5:$R$17,"&lt;="&amp;$C30)+SUMIFS(Schedule!$O$5:$O$17,Schedule!$N$5:$N$17,"&gt;="&amp;$B30,Schedule!$N$5:$N$17,"&lt;="&amp;$C30)+SUMIFS(Schedule!$V$5:$V$17,Schedule!$U$5:$U$17,"&gt;="&amp;$B30,Schedule!$U$5:$U$17,"&lt;="&amp;$C30)+SUMIF(Inputs!$C$44:$C$55,$A30,Inputs!$B$44:$B$55)+SUMIF(Inputs!$C$59:$C$66,$A30,Inputs!$B$59:$B$66)+Inputs!$B$21*(SUMIFS(Schedule!$F$5:$F$17,Schedule!$E$5:$E$17,"&gt;="&amp;$B30,Schedule!$E$5:$E$17,"&lt;="&amp;$C30)+SUMIFS(Schedule!$H$5:$H$17,Schedule!$G$5:$G$17,"&gt;="&amp;$B30,Schedule!$G$5:$G$17,"&lt;="&amp;$C30)+SUMIFS(Inputs!$B$24:$B$31,Inputs!$E$24:$E$31,"&gt;="&amp;$B30,Inputs!$E$24:$E$31,"&lt;="&amp;$C30))</f>
        <v/>
      </c>
      <c r="F30">
        <f>IF(A30&lt;=$D$3,1,0)</f>
        <v/>
      </c>
      <c r="I30" s="5">
        <f>IF(AND(F30=1,G30&lt;&gt;""),G30,D30)</f>
        <v/>
      </c>
      <c r="J30" s="5">
        <f>IF(AND(F30=1,H30&lt;&gt;""),H30,E30)</f>
        <v/>
      </c>
      <c r="K30" s="5">
        <f>IF(F30=1,I30-D30,"")</f>
        <v/>
      </c>
      <c r="L30">
        <f>IF(F30=1,IF(ROUND(K30,2)&gt;0,"Favorable",IF(ROUND(K30,2)&lt;0,"Unfavorable","On forecast")),"")</f>
        <v/>
      </c>
      <c r="M30" s="5">
        <f>IF(F30=1,J30-E30,"")</f>
        <v/>
      </c>
      <c r="N30">
        <f>IF(F30=1,IF(ROUND(M30,2)&lt;0,"Favorable",IF(ROUND(M30,2)&gt;0,"Unfavorable","On forecast")),"")</f>
        <v/>
      </c>
      <c r="O30" s="5">
        <f>I30-J30</f>
        <v/>
      </c>
      <c r="P30" s="5">
        <f>P29+O30</f>
        <v/>
      </c>
      <c r="Q30">
        <f>IF(F30=1,"Actual",IF(AND(A30&gt;$D$3,A30&lt;=$D$3+13),"Forecast",""))</f>
        <v/>
      </c>
      <c r="R30">
        <f>IF(AND(A30&gt;$D$3,A30&lt;=$D$3+13),IF(P30&lt;0,"Below zero",IF(P30&lt;Inputs!$B$7,"Below minimum","OK")),"")</f>
        <v/>
      </c>
      <c r="T30" s="5">
        <f>IF(AND(A30&gt;$D$3,A30&lt;=$D$3+13),P30,"")</f>
        <v/>
      </c>
    </row>
    <row r="31">
      <c r="A31" t="n">
        <v>16</v>
      </c>
      <c r="B31" s="4">
        <f>Inputs!$B$5+7*(A31-1)</f>
        <v/>
      </c>
      <c r="C31" s="4">
        <f>B31+6</f>
        <v/>
      </c>
      <c r="D31" s="5">
        <f>SUMIFS(Schedule!$F$5:$F$17,Schedule!$E$5:$E$17,"&gt;="&amp;$B31,Schedule!$E$5:$E$17,"&lt;="&amp;$C31)+SUMIFS(Schedule!$H$5:$H$17,Schedule!$G$5:$G$17,"&gt;="&amp;$B31,Schedule!$G$5:$G$17,"&lt;="&amp;$C31)+SUMIFS(Inputs!$B$24:$B$31,Inputs!$E$24:$E$31,"&gt;="&amp;$B31,Inputs!$E$24:$E$31,"&lt;="&amp;$C31)+SUMIF(Inputs!$C$35:$C$40,$A31,Inputs!$B$35:$B$40)</f>
        <v/>
      </c>
      <c r="E31" s="5">
        <f>SUMIFS(Schedule!$K$5:$K$17,Schedule!$J$5:$J$17,"&gt;="&amp;$B31,Schedule!$J$5:$J$17,"&lt;="&amp;$C31)+SUMIFS(Schedule!$M$5:$M$17,Schedule!$L$5:$L$17,"&gt;="&amp;$B31,Schedule!$L$5:$L$17,"&lt;="&amp;$C31)+SUMIFS(Schedule!$S$5:$S$17,Schedule!$R$5:$R$17,"&gt;="&amp;$B31,Schedule!$R$5:$R$17,"&lt;="&amp;$C31)+SUMIFS(Schedule!$O$5:$O$17,Schedule!$N$5:$N$17,"&gt;="&amp;$B31,Schedule!$N$5:$N$17,"&lt;="&amp;$C31)+SUMIFS(Schedule!$V$5:$V$17,Schedule!$U$5:$U$17,"&gt;="&amp;$B31,Schedule!$U$5:$U$17,"&lt;="&amp;$C31)+SUMIF(Inputs!$C$44:$C$55,$A31,Inputs!$B$44:$B$55)+SUMIF(Inputs!$C$59:$C$66,$A31,Inputs!$B$59:$B$66)+Inputs!$B$21*(SUMIFS(Schedule!$F$5:$F$17,Schedule!$E$5:$E$17,"&gt;="&amp;$B31,Schedule!$E$5:$E$17,"&lt;="&amp;$C31)+SUMIFS(Schedule!$H$5:$H$17,Schedule!$G$5:$G$17,"&gt;="&amp;$B31,Schedule!$G$5:$G$17,"&lt;="&amp;$C31)+SUMIFS(Inputs!$B$24:$B$31,Inputs!$E$24:$E$31,"&gt;="&amp;$B31,Inputs!$E$24:$E$31,"&lt;="&amp;$C31))</f>
        <v/>
      </c>
      <c r="F31">
        <f>IF(A31&lt;=$D$3,1,0)</f>
        <v/>
      </c>
      <c r="I31" s="5">
        <f>IF(AND(F31=1,G31&lt;&gt;""),G31,D31)</f>
        <v/>
      </c>
      <c r="J31" s="5">
        <f>IF(AND(F31=1,H31&lt;&gt;""),H31,E31)</f>
        <v/>
      </c>
      <c r="K31" s="5">
        <f>IF(F31=1,I31-D31,"")</f>
        <v/>
      </c>
      <c r="L31">
        <f>IF(F31=1,IF(ROUND(K31,2)&gt;0,"Favorable",IF(ROUND(K31,2)&lt;0,"Unfavorable","On forecast")),"")</f>
        <v/>
      </c>
      <c r="M31" s="5">
        <f>IF(F31=1,J31-E31,"")</f>
        <v/>
      </c>
      <c r="N31">
        <f>IF(F31=1,IF(ROUND(M31,2)&lt;0,"Favorable",IF(ROUND(M31,2)&gt;0,"Unfavorable","On forecast")),"")</f>
        <v/>
      </c>
      <c r="O31" s="5">
        <f>I31-J31</f>
        <v/>
      </c>
      <c r="P31" s="5">
        <f>P30+O31</f>
        <v/>
      </c>
      <c r="Q31">
        <f>IF(F31=1,"Actual",IF(AND(A31&gt;$D$3,A31&lt;=$D$3+13),"Forecast",""))</f>
        <v/>
      </c>
      <c r="R31">
        <f>IF(AND(A31&gt;$D$3,A31&lt;=$D$3+13),IF(P31&lt;0,"Below zero",IF(P31&lt;Inputs!$B$7,"Below minimum","OK")),"")</f>
        <v/>
      </c>
      <c r="T31" s="5">
        <f>IF(AND(A31&gt;$D$3,A31&lt;=$D$3+13),P31,"")</f>
        <v/>
      </c>
    </row>
    <row r="32">
      <c r="A32" t="n">
        <v>17</v>
      </c>
      <c r="B32" s="4">
        <f>Inputs!$B$5+7*(A32-1)</f>
        <v/>
      </c>
      <c r="C32" s="4">
        <f>B32+6</f>
        <v/>
      </c>
      <c r="D32" s="5">
        <f>SUMIFS(Schedule!$F$5:$F$17,Schedule!$E$5:$E$17,"&gt;="&amp;$B32,Schedule!$E$5:$E$17,"&lt;="&amp;$C32)+SUMIFS(Schedule!$H$5:$H$17,Schedule!$G$5:$G$17,"&gt;="&amp;$B32,Schedule!$G$5:$G$17,"&lt;="&amp;$C32)+SUMIFS(Inputs!$B$24:$B$31,Inputs!$E$24:$E$31,"&gt;="&amp;$B32,Inputs!$E$24:$E$31,"&lt;="&amp;$C32)+SUMIF(Inputs!$C$35:$C$40,$A32,Inputs!$B$35:$B$40)</f>
        <v/>
      </c>
      <c r="E32" s="5">
        <f>SUMIFS(Schedule!$K$5:$K$17,Schedule!$J$5:$J$17,"&gt;="&amp;$B32,Schedule!$J$5:$J$17,"&lt;="&amp;$C32)+SUMIFS(Schedule!$M$5:$M$17,Schedule!$L$5:$L$17,"&gt;="&amp;$B32,Schedule!$L$5:$L$17,"&lt;="&amp;$C32)+SUMIFS(Schedule!$S$5:$S$17,Schedule!$R$5:$R$17,"&gt;="&amp;$B32,Schedule!$R$5:$R$17,"&lt;="&amp;$C32)+SUMIFS(Schedule!$O$5:$O$17,Schedule!$N$5:$N$17,"&gt;="&amp;$B32,Schedule!$N$5:$N$17,"&lt;="&amp;$C32)+SUMIFS(Schedule!$V$5:$V$17,Schedule!$U$5:$U$17,"&gt;="&amp;$B32,Schedule!$U$5:$U$17,"&lt;="&amp;$C32)+SUMIF(Inputs!$C$44:$C$55,$A32,Inputs!$B$44:$B$55)+SUMIF(Inputs!$C$59:$C$66,$A32,Inputs!$B$59:$B$66)+Inputs!$B$21*(SUMIFS(Schedule!$F$5:$F$17,Schedule!$E$5:$E$17,"&gt;="&amp;$B32,Schedule!$E$5:$E$17,"&lt;="&amp;$C32)+SUMIFS(Schedule!$H$5:$H$17,Schedule!$G$5:$G$17,"&gt;="&amp;$B32,Schedule!$G$5:$G$17,"&lt;="&amp;$C32)+SUMIFS(Inputs!$B$24:$B$31,Inputs!$E$24:$E$31,"&gt;="&amp;$B32,Inputs!$E$24:$E$31,"&lt;="&amp;$C32))</f>
        <v/>
      </c>
      <c r="F32">
        <f>IF(A32&lt;=$D$3,1,0)</f>
        <v/>
      </c>
      <c r="I32" s="5">
        <f>IF(AND(F32=1,G32&lt;&gt;""),G32,D32)</f>
        <v/>
      </c>
      <c r="J32" s="5">
        <f>IF(AND(F32=1,H32&lt;&gt;""),H32,E32)</f>
        <v/>
      </c>
      <c r="K32" s="5">
        <f>IF(F32=1,I32-D32,"")</f>
        <v/>
      </c>
      <c r="L32">
        <f>IF(F32=1,IF(ROUND(K32,2)&gt;0,"Favorable",IF(ROUND(K32,2)&lt;0,"Unfavorable","On forecast")),"")</f>
        <v/>
      </c>
      <c r="M32" s="5">
        <f>IF(F32=1,J32-E32,"")</f>
        <v/>
      </c>
      <c r="N32">
        <f>IF(F32=1,IF(ROUND(M32,2)&lt;0,"Favorable",IF(ROUND(M32,2)&gt;0,"Unfavorable","On forecast")),"")</f>
        <v/>
      </c>
      <c r="O32" s="5">
        <f>I32-J32</f>
        <v/>
      </c>
      <c r="P32" s="5">
        <f>P31+O32</f>
        <v/>
      </c>
      <c r="Q32">
        <f>IF(F32=1,"Actual",IF(AND(A32&gt;$D$3,A32&lt;=$D$3+13),"Forecast",""))</f>
        <v/>
      </c>
      <c r="R32">
        <f>IF(AND(A32&gt;$D$3,A32&lt;=$D$3+13),IF(P32&lt;0,"Below zero",IF(P32&lt;Inputs!$B$7,"Below minimum","OK")),"")</f>
        <v/>
      </c>
      <c r="T32" s="5">
        <f>IF(AND(A32&gt;$D$3,A32&lt;=$D$3+13),P32,"")</f>
        <v/>
      </c>
    </row>
    <row r="33">
      <c r="A33" t="n">
        <v>18</v>
      </c>
      <c r="B33" s="4">
        <f>Inputs!$B$5+7*(A33-1)</f>
        <v/>
      </c>
      <c r="C33" s="4">
        <f>B33+6</f>
        <v/>
      </c>
      <c r="D33" s="5">
        <f>SUMIFS(Schedule!$F$5:$F$17,Schedule!$E$5:$E$17,"&gt;="&amp;$B33,Schedule!$E$5:$E$17,"&lt;="&amp;$C33)+SUMIFS(Schedule!$H$5:$H$17,Schedule!$G$5:$G$17,"&gt;="&amp;$B33,Schedule!$G$5:$G$17,"&lt;="&amp;$C33)+SUMIFS(Inputs!$B$24:$B$31,Inputs!$E$24:$E$31,"&gt;="&amp;$B33,Inputs!$E$24:$E$31,"&lt;="&amp;$C33)+SUMIF(Inputs!$C$35:$C$40,$A33,Inputs!$B$35:$B$40)</f>
        <v/>
      </c>
      <c r="E33" s="5">
        <f>SUMIFS(Schedule!$K$5:$K$17,Schedule!$J$5:$J$17,"&gt;="&amp;$B33,Schedule!$J$5:$J$17,"&lt;="&amp;$C33)+SUMIFS(Schedule!$M$5:$M$17,Schedule!$L$5:$L$17,"&gt;="&amp;$B33,Schedule!$L$5:$L$17,"&lt;="&amp;$C33)+SUMIFS(Schedule!$S$5:$S$17,Schedule!$R$5:$R$17,"&gt;="&amp;$B33,Schedule!$R$5:$R$17,"&lt;="&amp;$C33)+SUMIFS(Schedule!$O$5:$O$17,Schedule!$N$5:$N$17,"&gt;="&amp;$B33,Schedule!$N$5:$N$17,"&lt;="&amp;$C33)+SUMIFS(Schedule!$V$5:$V$17,Schedule!$U$5:$U$17,"&gt;="&amp;$B33,Schedule!$U$5:$U$17,"&lt;="&amp;$C33)+SUMIF(Inputs!$C$44:$C$55,$A33,Inputs!$B$44:$B$55)+SUMIF(Inputs!$C$59:$C$66,$A33,Inputs!$B$59:$B$66)+Inputs!$B$21*(SUMIFS(Schedule!$F$5:$F$17,Schedule!$E$5:$E$17,"&gt;="&amp;$B33,Schedule!$E$5:$E$17,"&lt;="&amp;$C33)+SUMIFS(Schedule!$H$5:$H$17,Schedule!$G$5:$G$17,"&gt;="&amp;$B33,Schedule!$G$5:$G$17,"&lt;="&amp;$C33)+SUMIFS(Inputs!$B$24:$B$31,Inputs!$E$24:$E$31,"&gt;="&amp;$B33,Inputs!$E$24:$E$31,"&lt;="&amp;$C33))</f>
        <v/>
      </c>
      <c r="F33">
        <f>IF(A33&lt;=$D$3,1,0)</f>
        <v/>
      </c>
      <c r="I33" s="5">
        <f>IF(AND(F33=1,G33&lt;&gt;""),G33,D33)</f>
        <v/>
      </c>
      <c r="J33" s="5">
        <f>IF(AND(F33=1,H33&lt;&gt;""),H33,E33)</f>
        <v/>
      </c>
      <c r="K33" s="5">
        <f>IF(F33=1,I33-D33,"")</f>
        <v/>
      </c>
      <c r="L33">
        <f>IF(F33=1,IF(ROUND(K33,2)&gt;0,"Favorable",IF(ROUND(K33,2)&lt;0,"Unfavorable","On forecast")),"")</f>
        <v/>
      </c>
      <c r="M33" s="5">
        <f>IF(F33=1,J33-E33,"")</f>
        <v/>
      </c>
      <c r="N33">
        <f>IF(F33=1,IF(ROUND(M33,2)&lt;0,"Favorable",IF(ROUND(M33,2)&gt;0,"Unfavorable","On forecast")),"")</f>
        <v/>
      </c>
      <c r="O33" s="5">
        <f>I33-J33</f>
        <v/>
      </c>
      <c r="P33" s="5">
        <f>P32+O33</f>
        <v/>
      </c>
      <c r="Q33">
        <f>IF(F33=1,"Actual",IF(AND(A33&gt;$D$3,A33&lt;=$D$3+13),"Forecast",""))</f>
        <v/>
      </c>
      <c r="R33">
        <f>IF(AND(A33&gt;$D$3,A33&lt;=$D$3+13),IF(P33&lt;0,"Below zero",IF(P33&lt;Inputs!$B$7,"Below minimum","OK")),"")</f>
        <v/>
      </c>
      <c r="T33" s="5">
        <f>IF(AND(A33&gt;$D$3,A33&lt;=$D$3+13),P33,"")</f>
        <v/>
      </c>
    </row>
    <row r="34">
      <c r="A34" t="n">
        <v>19</v>
      </c>
      <c r="B34" s="4">
        <f>Inputs!$B$5+7*(A34-1)</f>
        <v/>
      </c>
      <c r="C34" s="4">
        <f>B34+6</f>
        <v/>
      </c>
      <c r="D34" s="5">
        <f>SUMIFS(Schedule!$F$5:$F$17,Schedule!$E$5:$E$17,"&gt;="&amp;$B34,Schedule!$E$5:$E$17,"&lt;="&amp;$C34)+SUMIFS(Schedule!$H$5:$H$17,Schedule!$G$5:$G$17,"&gt;="&amp;$B34,Schedule!$G$5:$G$17,"&lt;="&amp;$C34)+SUMIFS(Inputs!$B$24:$B$31,Inputs!$E$24:$E$31,"&gt;="&amp;$B34,Inputs!$E$24:$E$31,"&lt;="&amp;$C34)+SUMIF(Inputs!$C$35:$C$40,$A34,Inputs!$B$35:$B$40)</f>
        <v/>
      </c>
      <c r="E34" s="5">
        <f>SUMIFS(Schedule!$K$5:$K$17,Schedule!$J$5:$J$17,"&gt;="&amp;$B34,Schedule!$J$5:$J$17,"&lt;="&amp;$C34)+SUMIFS(Schedule!$M$5:$M$17,Schedule!$L$5:$L$17,"&gt;="&amp;$B34,Schedule!$L$5:$L$17,"&lt;="&amp;$C34)+SUMIFS(Schedule!$S$5:$S$17,Schedule!$R$5:$R$17,"&gt;="&amp;$B34,Schedule!$R$5:$R$17,"&lt;="&amp;$C34)+SUMIFS(Schedule!$O$5:$O$17,Schedule!$N$5:$N$17,"&gt;="&amp;$B34,Schedule!$N$5:$N$17,"&lt;="&amp;$C34)+SUMIFS(Schedule!$V$5:$V$17,Schedule!$U$5:$U$17,"&gt;="&amp;$B34,Schedule!$U$5:$U$17,"&lt;="&amp;$C34)+SUMIF(Inputs!$C$44:$C$55,$A34,Inputs!$B$44:$B$55)+SUMIF(Inputs!$C$59:$C$66,$A34,Inputs!$B$59:$B$66)+Inputs!$B$21*(SUMIFS(Schedule!$F$5:$F$17,Schedule!$E$5:$E$17,"&gt;="&amp;$B34,Schedule!$E$5:$E$17,"&lt;="&amp;$C34)+SUMIFS(Schedule!$H$5:$H$17,Schedule!$G$5:$G$17,"&gt;="&amp;$B34,Schedule!$G$5:$G$17,"&lt;="&amp;$C34)+SUMIFS(Inputs!$B$24:$B$31,Inputs!$E$24:$E$31,"&gt;="&amp;$B34,Inputs!$E$24:$E$31,"&lt;="&amp;$C34))</f>
        <v/>
      </c>
      <c r="F34">
        <f>IF(A34&lt;=$D$3,1,0)</f>
        <v/>
      </c>
      <c r="I34" s="5">
        <f>IF(AND(F34=1,G34&lt;&gt;""),G34,D34)</f>
        <v/>
      </c>
      <c r="J34" s="5">
        <f>IF(AND(F34=1,H34&lt;&gt;""),H34,E34)</f>
        <v/>
      </c>
      <c r="K34" s="5">
        <f>IF(F34=1,I34-D34,"")</f>
        <v/>
      </c>
      <c r="L34">
        <f>IF(F34=1,IF(ROUND(K34,2)&gt;0,"Favorable",IF(ROUND(K34,2)&lt;0,"Unfavorable","On forecast")),"")</f>
        <v/>
      </c>
      <c r="M34" s="5">
        <f>IF(F34=1,J34-E34,"")</f>
        <v/>
      </c>
      <c r="N34">
        <f>IF(F34=1,IF(ROUND(M34,2)&lt;0,"Favorable",IF(ROUND(M34,2)&gt;0,"Unfavorable","On forecast")),"")</f>
        <v/>
      </c>
      <c r="O34" s="5">
        <f>I34-J34</f>
        <v/>
      </c>
      <c r="P34" s="5">
        <f>P33+O34</f>
        <v/>
      </c>
      <c r="Q34">
        <f>IF(F34=1,"Actual",IF(AND(A34&gt;$D$3,A34&lt;=$D$3+13),"Forecast",""))</f>
        <v/>
      </c>
      <c r="R34">
        <f>IF(AND(A34&gt;$D$3,A34&lt;=$D$3+13),IF(P34&lt;0,"Below zero",IF(P34&lt;Inputs!$B$7,"Below minimum","OK")),"")</f>
        <v/>
      </c>
      <c r="T34" s="5">
        <f>IF(AND(A34&gt;$D$3,A34&lt;=$D$3+13),P34,"")</f>
        <v/>
      </c>
    </row>
    <row r="35">
      <c r="A35" t="n">
        <v>20</v>
      </c>
      <c r="B35" s="4">
        <f>Inputs!$B$5+7*(A35-1)</f>
        <v/>
      </c>
      <c r="C35" s="4">
        <f>B35+6</f>
        <v/>
      </c>
      <c r="D35" s="5">
        <f>SUMIFS(Schedule!$F$5:$F$17,Schedule!$E$5:$E$17,"&gt;="&amp;$B35,Schedule!$E$5:$E$17,"&lt;="&amp;$C35)+SUMIFS(Schedule!$H$5:$H$17,Schedule!$G$5:$G$17,"&gt;="&amp;$B35,Schedule!$G$5:$G$17,"&lt;="&amp;$C35)+SUMIFS(Inputs!$B$24:$B$31,Inputs!$E$24:$E$31,"&gt;="&amp;$B35,Inputs!$E$24:$E$31,"&lt;="&amp;$C35)+SUMIF(Inputs!$C$35:$C$40,$A35,Inputs!$B$35:$B$40)</f>
        <v/>
      </c>
      <c r="E35" s="5">
        <f>SUMIFS(Schedule!$K$5:$K$17,Schedule!$J$5:$J$17,"&gt;="&amp;$B35,Schedule!$J$5:$J$17,"&lt;="&amp;$C35)+SUMIFS(Schedule!$M$5:$M$17,Schedule!$L$5:$L$17,"&gt;="&amp;$B35,Schedule!$L$5:$L$17,"&lt;="&amp;$C35)+SUMIFS(Schedule!$S$5:$S$17,Schedule!$R$5:$R$17,"&gt;="&amp;$B35,Schedule!$R$5:$R$17,"&lt;="&amp;$C35)+SUMIFS(Schedule!$O$5:$O$17,Schedule!$N$5:$N$17,"&gt;="&amp;$B35,Schedule!$N$5:$N$17,"&lt;="&amp;$C35)+SUMIFS(Schedule!$V$5:$V$17,Schedule!$U$5:$U$17,"&gt;="&amp;$B35,Schedule!$U$5:$U$17,"&lt;="&amp;$C35)+SUMIF(Inputs!$C$44:$C$55,$A35,Inputs!$B$44:$B$55)+SUMIF(Inputs!$C$59:$C$66,$A35,Inputs!$B$59:$B$66)+Inputs!$B$21*(SUMIFS(Schedule!$F$5:$F$17,Schedule!$E$5:$E$17,"&gt;="&amp;$B35,Schedule!$E$5:$E$17,"&lt;="&amp;$C35)+SUMIFS(Schedule!$H$5:$H$17,Schedule!$G$5:$G$17,"&gt;="&amp;$B35,Schedule!$G$5:$G$17,"&lt;="&amp;$C35)+SUMIFS(Inputs!$B$24:$B$31,Inputs!$E$24:$E$31,"&gt;="&amp;$B35,Inputs!$E$24:$E$31,"&lt;="&amp;$C35))</f>
        <v/>
      </c>
      <c r="F35">
        <f>IF(A35&lt;=$D$3,1,0)</f>
        <v/>
      </c>
      <c r="I35" s="5">
        <f>IF(AND(F35=1,G35&lt;&gt;""),G35,D35)</f>
        <v/>
      </c>
      <c r="J35" s="5">
        <f>IF(AND(F35=1,H35&lt;&gt;""),H35,E35)</f>
        <v/>
      </c>
      <c r="K35" s="5">
        <f>IF(F35=1,I35-D35,"")</f>
        <v/>
      </c>
      <c r="L35">
        <f>IF(F35=1,IF(ROUND(K35,2)&gt;0,"Favorable",IF(ROUND(K35,2)&lt;0,"Unfavorable","On forecast")),"")</f>
        <v/>
      </c>
      <c r="M35" s="5">
        <f>IF(F35=1,J35-E35,"")</f>
        <v/>
      </c>
      <c r="N35">
        <f>IF(F35=1,IF(ROUND(M35,2)&lt;0,"Favorable",IF(ROUND(M35,2)&gt;0,"Unfavorable","On forecast")),"")</f>
        <v/>
      </c>
      <c r="O35" s="5">
        <f>I35-J35</f>
        <v/>
      </c>
      <c r="P35" s="5">
        <f>P34+O35</f>
        <v/>
      </c>
      <c r="Q35">
        <f>IF(F35=1,"Actual",IF(AND(A35&gt;$D$3,A35&lt;=$D$3+13),"Forecast",""))</f>
        <v/>
      </c>
      <c r="R35">
        <f>IF(AND(A35&gt;$D$3,A35&lt;=$D$3+13),IF(P35&lt;0,"Below zero",IF(P35&lt;Inputs!$B$7,"Below minimum","OK")),"")</f>
        <v/>
      </c>
      <c r="T35" s="5">
        <f>IF(AND(A35&gt;$D$3,A35&lt;=$D$3+13),P35,"")</f>
        <v/>
      </c>
    </row>
    <row r="36">
      <c r="A36" t="n">
        <v>21</v>
      </c>
      <c r="B36" s="4">
        <f>Inputs!$B$5+7*(A36-1)</f>
        <v/>
      </c>
      <c r="C36" s="4">
        <f>B36+6</f>
        <v/>
      </c>
      <c r="D36" s="5">
        <f>SUMIFS(Schedule!$F$5:$F$17,Schedule!$E$5:$E$17,"&gt;="&amp;$B36,Schedule!$E$5:$E$17,"&lt;="&amp;$C36)+SUMIFS(Schedule!$H$5:$H$17,Schedule!$G$5:$G$17,"&gt;="&amp;$B36,Schedule!$G$5:$G$17,"&lt;="&amp;$C36)+SUMIFS(Inputs!$B$24:$B$31,Inputs!$E$24:$E$31,"&gt;="&amp;$B36,Inputs!$E$24:$E$31,"&lt;="&amp;$C36)+SUMIF(Inputs!$C$35:$C$40,$A36,Inputs!$B$35:$B$40)</f>
        <v/>
      </c>
      <c r="E36" s="5">
        <f>SUMIFS(Schedule!$K$5:$K$17,Schedule!$J$5:$J$17,"&gt;="&amp;$B36,Schedule!$J$5:$J$17,"&lt;="&amp;$C36)+SUMIFS(Schedule!$M$5:$M$17,Schedule!$L$5:$L$17,"&gt;="&amp;$B36,Schedule!$L$5:$L$17,"&lt;="&amp;$C36)+SUMIFS(Schedule!$S$5:$S$17,Schedule!$R$5:$R$17,"&gt;="&amp;$B36,Schedule!$R$5:$R$17,"&lt;="&amp;$C36)+SUMIFS(Schedule!$O$5:$O$17,Schedule!$N$5:$N$17,"&gt;="&amp;$B36,Schedule!$N$5:$N$17,"&lt;="&amp;$C36)+SUMIFS(Schedule!$V$5:$V$17,Schedule!$U$5:$U$17,"&gt;="&amp;$B36,Schedule!$U$5:$U$17,"&lt;="&amp;$C36)+SUMIF(Inputs!$C$44:$C$55,$A36,Inputs!$B$44:$B$55)+SUMIF(Inputs!$C$59:$C$66,$A36,Inputs!$B$59:$B$66)+Inputs!$B$21*(SUMIFS(Schedule!$F$5:$F$17,Schedule!$E$5:$E$17,"&gt;="&amp;$B36,Schedule!$E$5:$E$17,"&lt;="&amp;$C36)+SUMIFS(Schedule!$H$5:$H$17,Schedule!$G$5:$G$17,"&gt;="&amp;$B36,Schedule!$G$5:$G$17,"&lt;="&amp;$C36)+SUMIFS(Inputs!$B$24:$B$31,Inputs!$E$24:$E$31,"&gt;="&amp;$B36,Inputs!$E$24:$E$31,"&lt;="&amp;$C36))</f>
        <v/>
      </c>
      <c r="F36">
        <f>IF(A36&lt;=$D$3,1,0)</f>
        <v/>
      </c>
      <c r="I36" s="5">
        <f>IF(AND(F36=1,G36&lt;&gt;""),G36,D36)</f>
        <v/>
      </c>
      <c r="J36" s="5">
        <f>IF(AND(F36=1,H36&lt;&gt;""),H36,E36)</f>
        <v/>
      </c>
      <c r="K36" s="5">
        <f>IF(F36=1,I36-D36,"")</f>
        <v/>
      </c>
      <c r="L36">
        <f>IF(F36=1,IF(ROUND(K36,2)&gt;0,"Favorable",IF(ROUND(K36,2)&lt;0,"Unfavorable","On forecast")),"")</f>
        <v/>
      </c>
      <c r="M36" s="5">
        <f>IF(F36=1,J36-E36,"")</f>
        <v/>
      </c>
      <c r="N36">
        <f>IF(F36=1,IF(ROUND(M36,2)&lt;0,"Favorable",IF(ROUND(M36,2)&gt;0,"Unfavorable","On forecast")),"")</f>
        <v/>
      </c>
      <c r="O36" s="5">
        <f>I36-J36</f>
        <v/>
      </c>
      <c r="P36" s="5">
        <f>P35+O36</f>
        <v/>
      </c>
      <c r="Q36">
        <f>IF(F36=1,"Actual",IF(AND(A36&gt;$D$3,A36&lt;=$D$3+13),"Forecast",""))</f>
        <v/>
      </c>
      <c r="R36">
        <f>IF(AND(A36&gt;$D$3,A36&lt;=$D$3+13),IF(P36&lt;0,"Below zero",IF(P36&lt;Inputs!$B$7,"Below minimum","OK")),"")</f>
        <v/>
      </c>
      <c r="T36" s="5">
        <f>IF(AND(A36&gt;$D$3,A36&lt;=$D$3+13),P36,"")</f>
        <v/>
      </c>
    </row>
    <row r="37">
      <c r="A37" t="n">
        <v>22</v>
      </c>
      <c r="B37" s="4">
        <f>Inputs!$B$5+7*(A37-1)</f>
        <v/>
      </c>
      <c r="C37" s="4">
        <f>B37+6</f>
        <v/>
      </c>
      <c r="D37" s="5">
        <f>SUMIFS(Schedule!$F$5:$F$17,Schedule!$E$5:$E$17,"&gt;="&amp;$B37,Schedule!$E$5:$E$17,"&lt;="&amp;$C37)+SUMIFS(Schedule!$H$5:$H$17,Schedule!$G$5:$G$17,"&gt;="&amp;$B37,Schedule!$G$5:$G$17,"&lt;="&amp;$C37)+SUMIFS(Inputs!$B$24:$B$31,Inputs!$E$24:$E$31,"&gt;="&amp;$B37,Inputs!$E$24:$E$31,"&lt;="&amp;$C37)+SUMIF(Inputs!$C$35:$C$40,$A37,Inputs!$B$35:$B$40)</f>
        <v/>
      </c>
      <c r="E37" s="5">
        <f>SUMIFS(Schedule!$K$5:$K$17,Schedule!$J$5:$J$17,"&gt;="&amp;$B37,Schedule!$J$5:$J$17,"&lt;="&amp;$C37)+SUMIFS(Schedule!$M$5:$M$17,Schedule!$L$5:$L$17,"&gt;="&amp;$B37,Schedule!$L$5:$L$17,"&lt;="&amp;$C37)+SUMIFS(Schedule!$S$5:$S$17,Schedule!$R$5:$R$17,"&gt;="&amp;$B37,Schedule!$R$5:$R$17,"&lt;="&amp;$C37)+SUMIFS(Schedule!$O$5:$O$17,Schedule!$N$5:$N$17,"&gt;="&amp;$B37,Schedule!$N$5:$N$17,"&lt;="&amp;$C37)+SUMIFS(Schedule!$V$5:$V$17,Schedule!$U$5:$U$17,"&gt;="&amp;$B37,Schedule!$U$5:$U$17,"&lt;="&amp;$C37)+SUMIF(Inputs!$C$44:$C$55,$A37,Inputs!$B$44:$B$55)+SUMIF(Inputs!$C$59:$C$66,$A37,Inputs!$B$59:$B$66)+Inputs!$B$21*(SUMIFS(Schedule!$F$5:$F$17,Schedule!$E$5:$E$17,"&gt;="&amp;$B37,Schedule!$E$5:$E$17,"&lt;="&amp;$C37)+SUMIFS(Schedule!$H$5:$H$17,Schedule!$G$5:$G$17,"&gt;="&amp;$B37,Schedule!$G$5:$G$17,"&lt;="&amp;$C37)+SUMIFS(Inputs!$B$24:$B$31,Inputs!$E$24:$E$31,"&gt;="&amp;$B37,Inputs!$E$24:$E$31,"&lt;="&amp;$C37))</f>
        <v/>
      </c>
      <c r="F37">
        <f>IF(A37&lt;=$D$3,1,0)</f>
        <v/>
      </c>
      <c r="I37" s="5">
        <f>IF(AND(F37=1,G37&lt;&gt;""),G37,D37)</f>
        <v/>
      </c>
      <c r="J37" s="5">
        <f>IF(AND(F37=1,H37&lt;&gt;""),H37,E37)</f>
        <v/>
      </c>
      <c r="K37" s="5">
        <f>IF(F37=1,I37-D37,"")</f>
        <v/>
      </c>
      <c r="L37">
        <f>IF(F37=1,IF(ROUND(K37,2)&gt;0,"Favorable",IF(ROUND(K37,2)&lt;0,"Unfavorable","On forecast")),"")</f>
        <v/>
      </c>
      <c r="M37" s="5">
        <f>IF(F37=1,J37-E37,"")</f>
        <v/>
      </c>
      <c r="N37">
        <f>IF(F37=1,IF(ROUND(M37,2)&lt;0,"Favorable",IF(ROUND(M37,2)&gt;0,"Unfavorable","On forecast")),"")</f>
        <v/>
      </c>
      <c r="O37" s="5">
        <f>I37-J37</f>
        <v/>
      </c>
      <c r="P37" s="5">
        <f>P36+O37</f>
        <v/>
      </c>
      <c r="Q37">
        <f>IF(F37=1,"Actual",IF(AND(A37&gt;$D$3,A37&lt;=$D$3+13),"Forecast",""))</f>
        <v/>
      </c>
      <c r="R37">
        <f>IF(AND(A37&gt;$D$3,A37&lt;=$D$3+13),IF(P37&lt;0,"Below zero",IF(P37&lt;Inputs!$B$7,"Below minimum","OK")),"")</f>
        <v/>
      </c>
      <c r="T37" s="5">
        <f>IF(AND(A37&gt;$D$3,A37&lt;=$D$3+13),P37,"")</f>
        <v/>
      </c>
    </row>
    <row r="38">
      <c r="A38" t="n">
        <v>23</v>
      </c>
      <c r="B38" s="4">
        <f>Inputs!$B$5+7*(A38-1)</f>
        <v/>
      </c>
      <c r="C38" s="4">
        <f>B38+6</f>
        <v/>
      </c>
      <c r="D38" s="5">
        <f>SUMIFS(Schedule!$F$5:$F$17,Schedule!$E$5:$E$17,"&gt;="&amp;$B38,Schedule!$E$5:$E$17,"&lt;="&amp;$C38)+SUMIFS(Schedule!$H$5:$H$17,Schedule!$G$5:$G$17,"&gt;="&amp;$B38,Schedule!$G$5:$G$17,"&lt;="&amp;$C38)+SUMIFS(Inputs!$B$24:$B$31,Inputs!$E$24:$E$31,"&gt;="&amp;$B38,Inputs!$E$24:$E$31,"&lt;="&amp;$C38)+SUMIF(Inputs!$C$35:$C$40,$A38,Inputs!$B$35:$B$40)</f>
        <v/>
      </c>
      <c r="E38" s="5">
        <f>SUMIFS(Schedule!$K$5:$K$17,Schedule!$J$5:$J$17,"&gt;="&amp;$B38,Schedule!$J$5:$J$17,"&lt;="&amp;$C38)+SUMIFS(Schedule!$M$5:$M$17,Schedule!$L$5:$L$17,"&gt;="&amp;$B38,Schedule!$L$5:$L$17,"&lt;="&amp;$C38)+SUMIFS(Schedule!$S$5:$S$17,Schedule!$R$5:$R$17,"&gt;="&amp;$B38,Schedule!$R$5:$R$17,"&lt;="&amp;$C38)+SUMIFS(Schedule!$O$5:$O$17,Schedule!$N$5:$N$17,"&gt;="&amp;$B38,Schedule!$N$5:$N$17,"&lt;="&amp;$C38)+SUMIFS(Schedule!$V$5:$V$17,Schedule!$U$5:$U$17,"&gt;="&amp;$B38,Schedule!$U$5:$U$17,"&lt;="&amp;$C38)+SUMIF(Inputs!$C$44:$C$55,$A38,Inputs!$B$44:$B$55)+SUMIF(Inputs!$C$59:$C$66,$A38,Inputs!$B$59:$B$66)+Inputs!$B$21*(SUMIFS(Schedule!$F$5:$F$17,Schedule!$E$5:$E$17,"&gt;="&amp;$B38,Schedule!$E$5:$E$17,"&lt;="&amp;$C38)+SUMIFS(Schedule!$H$5:$H$17,Schedule!$G$5:$G$17,"&gt;="&amp;$B38,Schedule!$G$5:$G$17,"&lt;="&amp;$C38)+SUMIFS(Inputs!$B$24:$B$31,Inputs!$E$24:$E$31,"&gt;="&amp;$B38,Inputs!$E$24:$E$31,"&lt;="&amp;$C38))</f>
        <v/>
      </c>
      <c r="F38">
        <f>IF(A38&lt;=$D$3,1,0)</f>
        <v/>
      </c>
      <c r="I38" s="5">
        <f>IF(AND(F38=1,G38&lt;&gt;""),G38,D38)</f>
        <v/>
      </c>
      <c r="J38" s="5">
        <f>IF(AND(F38=1,H38&lt;&gt;""),H38,E38)</f>
        <v/>
      </c>
      <c r="K38" s="5">
        <f>IF(F38=1,I38-D38,"")</f>
        <v/>
      </c>
      <c r="L38">
        <f>IF(F38=1,IF(ROUND(K38,2)&gt;0,"Favorable",IF(ROUND(K38,2)&lt;0,"Unfavorable","On forecast")),"")</f>
        <v/>
      </c>
      <c r="M38" s="5">
        <f>IF(F38=1,J38-E38,"")</f>
        <v/>
      </c>
      <c r="N38">
        <f>IF(F38=1,IF(ROUND(M38,2)&lt;0,"Favorable",IF(ROUND(M38,2)&gt;0,"Unfavorable","On forecast")),"")</f>
        <v/>
      </c>
      <c r="O38" s="5">
        <f>I38-J38</f>
        <v/>
      </c>
      <c r="P38" s="5">
        <f>P37+O38</f>
        <v/>
      </c>
      <c r="Q38">
        <f>IF(F38=1,"Actual",IF(AND(A38&gt;$D$3,A38&lt;=$D$3+13),"Forecast",""))</f>
        <v/>
      </c>
      <c r="R38">
        <f>IF(AND(A38&gt;$D$3,A38&lt;=$D$3+13),IF(P38&lt;0,"Below zero",IF(P38&lt;Inputs!$B$7,"Below minimum","OK")),"")</f>
        <v/>
      </c>
      <c r="T38" s="5">
        <f>IF(AND(A38&gt;$D$3,A38&lt;=$D$3+13),P38,"")</f>
        <v/>
      </c>
    </row>
    <row r="39">
      <c r="A39" t="n">
        <v>24</v>
      </c>
      <c r="B39" s="4">
        <f>Inputs!$B$5+7*(A39-1)</f>
        <v/>
      </c>
      <c r="C39" s="4">
        <f>B39+6</f>
        <v/>
      </c>
      <c r="D39" s="5">
        <f>SUMIFS(Schedule!$F$5:$F$17,Schedule!$E$5:$E$17,"&gt;="&amp;$B39,Schedule!$E$5:$E$17,"&lt;="&amp;$C39)+SUMIFS(Schedule!$H$5:$H$17,Schedule!$G$5:$G$17,"&gt;="&amp;$B39,Schedule!$G$5:$G$17,"&lt;="&amp;$C39)+SUMIFS(Inputs!$B$24:$B$31,Inputs!$E$24:$E$31,"&gt;="&amp;$B39,Inputs!$E$24:$E$31,"&lt;="&amp;$C39)+SUMIF(Inputs!$C$35:$C$40,$A39,Inputs!$B$35:$B$40)</f>
        <v/>
      </c>
      <c r="E39" s="5">
        <f>SUMIFS(Schedule!$K$5:$K$17,Schedule!$J$5:$J$17,"&gt;="&amp;$B39,Schedule!$J$5:$J$17,"&lt;="&amp;$C39)+SUMIFS(Schedule!$M$5:$M$17,Schedule!$L$5:$L$17,"&gt;="&amp;$B39,Schedule!$L$5:$L$17,"&lt;="&amp;$C39)+SUMIFS(Schedule!$S$5:$S$17,Schedule!$R$5:$R$17,"&gt;="&amp;$B39,Schedule!$R$5:$R$17,"&lt;="&amp;$C39)+SUMIFS(Schedule!$O$5:$O$17,Schedule!$N$5:$N$17,"&gt;="&amp;$B39,Schedule!$N$5:$N$17,"&lt;="&amp;$C39)+SUMIFS(Schedule!$V$5:$V$17,Schedule!$U$5:$U$17,"&gt;="&amp;$B39,Schedule!$U$5:$U$17,"&lt;="&amp;$C39)+SUMIF(Inputs!$C$44:$C$55,$A39,Inputs!$B$44:$B$55)+SUMIF(Inputs!$C$59:$C$66,$A39,Inputs!$B$59:$B$66)+Inputs!$B$21*(SUMIFS(Schedule!$F$5:$F$17,Schedule!$E$5:$E$17,"&gt;="&amp;$B39,Schedule!$E$5:$E$17,"&lt;="&amp;$C39)+SUMIFS(Schedule!$H$5:$H$17,Schedule!$G$5:$G$17,"&gt;="&amp;$B39,Schedule!$G$5:$G$17,"&lt;="&amp;$C39)+SUMIFS(Inputs!$B$24:$B$31,Inputs!$E$24:$E$31,"&gt;="&amp;$B39,Inputs!$E$24:$E$31,"&lt;="&amp;$C39))</f>
        <v/>
      </c>
      <c r="F39">
        <f>IF(A39&lt;=$D$3,1,0)</f>
        <v/>
      </c>
      <c r="I39" s="5">
        <f>IF(AND(F39=1,G39&lt;&gt;""),G39,D39)</f>
        <v/>
      </c>
      <c r="J39" s="5">
        <f>IF(AND(F39=1,H39&lt;&gt;""),H39,E39)</f>
        <v/>
      </c>
      <c r="K39" s="5">
        <f>IF(F39=1,I39-D39,"")</f>
        <v/>
      </c>
      <c r="L39">
        <f>IF(F39=1,IF(ROUND(K39,2)&gt;0,"Favorable",IF(ROUND(K39,2)&lt;0,"Unfavorable","On forecast")),"")</f>
        <v/>
      </c>
      <c r="M39" s="5">
        <f>IF(F39=1,J39-E39,"")</f>
        <v/>
      </c>
      <c r="N39">
        <f>IF(F39=1,IF(ROUND(M39,2)&lt;0,"Favorable",IF(ROUND(M39,2)&gt;0,"Unfavorable","On forecast")),"")</f>
        <v/>
      </c>
      <c r="O39" s="5">
        <f>I39-J39</f>
        <v/>
      </c>
      <c r="P39" s="5">
        <f>P38+O39</f>
        <v/>
      </c>
      <c r="Q39">
        <f>IF(F39=1,"Actual",IF(AND(A39&gt;$D$3,A39&lt;=$D$3+13),"Forecast",""))</f>
        <v/>
      </c>
      <c r="R39">
        <f>IF(AND(A39&gt;$D$3,A39&lt;=$D$3+13),IF(P39&lt;0,"Below zero",IF(P39&lt;Inputs!$B$7,"Below minimum","OK")),"")</f>
        <v/>
      </c>
      <c r="T39" s="5">
        <f>IF(AND(A39&gt;$D$3,A39&lt;=$D$3+13),P39,"")</f>
        <v/>
      </c>
    </row>
    <row r="40">
      <c r="A40" t="n">
        <v>25</v>
      </c>
      <c r="B40" s="4">
        <f>Inputs!$B$5+7*(A40-1)</f>
        <v/>
      </c>
      <c r="C40" s="4">
        <f>B40+6</f>
        <v/>
      </c>
      <c r="D40" s="5">
        <f>SUMIFS(Schedule!$F$5:$F$17,Schedule!$E$5:$E$17,"&gt;="&amp;$B40,Schedule!$E$5:$E$17,"&lt;="&amp;$C40)+SUMIFS(Schedule!$H$5:$H$17,Schedule!$G$5:$G$17,"&gt;="&amp;$B40,Schedule!$G$5:$G$17,"&lt;="&amp;$C40)+SUMIFS(Inputs!$B$24:$B$31,Inputs!$E$24:$E$31,"&gt;="&amp;$B40,Inputs!$E$24:$E$31,"&lt;="&amp;$C40)+SUMIF(Inputs!$C$35:$C$40,$A40,Inputs!$B$35:$B$40)</f>
        <v/>
      </c>
      <c r="E40" s="5">
        <f>SUMIFS(Schedule!$K$5:$K$17,Schedule!$J$5:$J$17,"&gt;="&amp;$B40,Schedule!$J$5:$J$17,"&lt;="&amp;$C40)+SUMIFS(Schedule!$M$5:$M$17,Schedule!$L$5:$L$17,"&gt;="&amp;$B40,Schedule!$L$5:$L$17,"&lt;="&amp;$C40)+SUMIFS(Schedule!$S$5:$S$17,Schedule!$R$5:$R$17,"&gt;="&amp;$B40,Schedule!$R$5:$R$17,"&lt;="&amp;$C40)+SUMIFS(Schedule!$O$5:$O$17,Schedule!$N$5:$N$17,"&gt;="&amp;$B40,Schedule!$N$5:$N$17,"&lt;="&amp;$C40)+SUMIFS(Schedule!$V$5:$V$17,Schedule!$U$5:$U$17,"&gt;="&amp;$B40,Schedule!$U$5:$U$17,"&lt;="&amp;$C40)+SUMIF(Inputs!$C$44:$C$55,$A40,Inputs!$B$44:$B$55)+SUMIF(Inputs!$C$59:$C$66,$A40,Inputs!$B$59:$B$66)+Inputs!$B$21*(SUMIFS(Schedule!$F$5:$F$17,Schedule!$E$5:$E$17,"&gt;="&amp;$B40,Schedule!$E$5:$E$17,"&lt;="&amp;$C40)+SUMIFS(Schedule!$H$5:$H$17,Schedule!$G$5:$G$17,"&gt;="&amp;$B40,Schedule!$G$5:$G$17,"&lt;="&amp;$C40)+SUMIFS(Inputs!$B$24:$B$31,Inputs!$E$24:$E$31,"&gt;="&amp;$B40,Inputs!$E$24:$E$31,"&lt;="&amp;$C40))</f>
        <v/>
      </c>
      <c r="F40">
        <f>IF(A40&lt;=$D$3,1,0)</f>
        <v/>
      </c>
      <c r="I40" s="5">
        <f>IF(AND(F40=1,G40&lt;&gt;""),G40,D40)</f>
        <v/>
      </c>
      <c r="J40" s="5">
        <f>IF(AND(F40=1,H40&lt;&gt;""),H40,E40)</f>
        <v/>
      </c>
      <c r="K40" s="5">
        <f>IF(F40=1,I40-D40,"")</f>
        <v/>
      </c>
      <c r="L40">
        <f>IF(F40=1,IF(ROUND(K40,2)&gt;0,"Favorable",IF(ROUND(K40,2)&lt;0,"Unfavorable","On forecast")),"")</f>
        <v/>
      </c>
      <c r="M40" s="5">
        <f>IF(F40=1,J40-E40,"")</f>
        <v/>
      </c>
      <c r="N40">
        <f>IF(F40=1,IF(ROUND(M40,2)&lt;0,"Favorable",IF(ROUND(M40,2)&gt;0,"Unfavorable","On forecast")),"")</f>
        <v/>
      </c>
      <c r="O40" s="5">
        <f>I40-J40</f>
        <v/>
      </c>
      <c r="P40" s="5">
        <f>P39+O40</f>
        <v/>
      </c>
      <c r="Q40">
        <f>IF(F40=1,"Actual",IF(AND(A40&gt;$D$3,A40&lt;=$D$3+13),"Forecast",""))</f>
        <v/>
      </c>
      <c r="R40">
        <f>IF(AND(A40&gt;$D$3,A40&lt;=$D$3+13),IF(P40&lt;0,"Below zero",IF(P40&lt;Inputs!$B$7,"Below minimum","OK")),"")</f>
        <v/>
      </c>
      <c r="T40" s="5">
        <f>IF(AND(A40&gt;$D$3,A40&lt;=$D$3+13),P40,"")</f>
        <v/>
      </c>
    </row>
    <row r="41">
      <c r="A41" t="n">
        <v>26</v>
      </c>
      <c r="B41" s="4">
        <f>Inputs!$B$5+7*(A41-1)</f>
        <v/>
      </c>
      <c r="C41" s="4">
        <f>B41+6</f>
        <v/>
      </c>
      <c r="D41" s="5">
        <f>SUMIFS(Schedule!$F$5:$F$17,Schedule!$E$5:$E$17,"&gt;="&amp;$B41,Schedule!$E$5:$E$17,"&lt;="&amp;$C41)+SUMIFS(Schedule!$H$5:$H$17,Schedule!$G$5:$G$17,"&gt;="&amp;$B41,Schedule!$G$5:$G$17,"&lt;="&amp;$C41)+SUMIFS(Inputs!$B$24:$B$31,Inputs!$E$24:$E$31,"&gt;="&amp;$B41,Inputs!$E$24:$E$31,"&lt;="&amp;$C41)+SUMIF(Inputs!$C$35:$C$40,$A41,Inputs!$B$35:$B$40)</f>
        <v/>
      </c>
      <c r="E41" s="5">
        <f>SUMIFS(Schedule!$K$5:$K$17,Schedule!$J$5:$J$17,"&gt;="&amp;$B41,Schedule!$J$5:$J$17,"&lt;="&amp;$C41)+SUMIFS(Schedule!$M$5:$M$17,Schedule!$L$5:$L$17,"&gt;="&amp;$B41,Schedule!$L$5:$L$17,"&lt;="&amp;$C41)+SUMIFS(Schedule!$S$5:$S$17,Schedule!$R$5:$R$17,"&gt;="&amp;$B41,Schedule!$R$5:$R$17,"&lt;="&amp;$C41)+SUMIFS(Schedule!$O$5:$O$17,Schedule!$N$5:$N$17,"&gt;="&amp;$B41,Schedule!$N$5:$N$17,"&lt;="&amp;$C41)+SUMIFS(Schedule!$V$5:$V$17,Schedule!$U$5:$U$17,"&gt;="&amp;$B41,Schedule!$U$5:$U$17,"&lt;="&amp;$C41)+SUMIF(Inputs!$C$44:$C$55,$A41,Inputs!$B$44:$B$55)+SUMIF(Inputs!$C$59:$C$66,$A41,Inputs!$B$59:$B$66)+Inputs!$B$21*(SUMIFS(Schedule!$F$5:$F$17,Schedule!$E$5:$E$17,"&gt;="&amp;$B41,Schedule!$E$5:$E$17,"&lt;="&amp;$C41)+SUMIFS(Schedule!$H$5:$H$17,Schedule!$G$5:$G$17,"&gt;="&amp;$B41,Schedule!$G$5:$G$17,"&lt;="&amp;$C41)+SUMIFS(Inputs!$B$24:$B$31,Inputs!$E$24:$E$31,"&gt;="&amp;$B41,Inputs!$E$24:$E$31,"&lt;="&amp;$C41))</f>
        <v/>
      </c>
      <c r="F41">
        <f>IF(A41&lt;=$D$3,1,0)</f>
        <v/>
      </c>
      <c r="I41" s="5">
        <f>IF(AND(F41=1,G41&lt;&gt;""),G41,D41)</f>
        <v/>
      </c>
      <c r="J41" s="5">
        <f>IF(AND(F41=1,H41&lt;&gt;""),H41,E41)</f>
        <v/>
      </c>
      <c r="K41" s="5">
        <f>IF(F41=1,I41-D41,"")</f>
        <v/>
      </c>
      <c r="L41">
        <f>IF(F41=1,IF(ROUND(K41,2)&gt;0,"Favorable",IF(ROUND(K41,2)&lt;0,"Unfavorable","On forecast")),"")</f>
        <v/>
      </c>
      <c r="M41" s="5">
        <f>IF(F41=1,J41-E41,"")</f>
        <v/>
      </c>
      <c r="N41">
        <f>IF(F41=1,IF(ROUND(M41,2)&lt;0,"Favorable",IF(ROUND(M41,2)&gt;0,"Unfavorable","On forecast")),"")</f>
        <v/>
      </c>
      <c r="O41" s="5">
        <f>I41-J41</f>
        <v/>
      </c>
      <c r="P41" s="5">
        <f>P40+O41</f>
        <v/>
      </c>
      <c r="Q41">
        <f>IF(F41=1,"Actual",IF(AND(A41&gt;$D$3,A41&lt;=$D$3+13),"Forecast",""))</f>
        <v/>
      </c>
      <c r="R41">
        <f>IF(AND(A41&gt;$D$3,A41&lt;=$D$3+13),IF(P41&lt;0,"Below zero",IF(P41&lt;Inputs!$B$7,"Below minimum","OK")),"")</f>
        <v/>
      </c>
      <c r="T41" s="5">
        <f>IF(AND(A41&gt;$D$3,A41&lt;=$D$3+13),P41,"")</f>
        <v/>
      </c>
    </row>
  </sheetData>
  <dataValidations count="1">
    <dataValidation sqref="D3" showDropDown="0" showInputMessage="0" showErrorMessage="0" allowBlank="0" type="whole" operator="between">
      <formula1>0</formula1>
      <formula2>13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4" customWidth="1" min="4" max="4"/>
    <col width="16" customWidth="1" min="5" max="5"/>
    <col width="14" customWidth="1" min="6" max="6"/>
  </cols>
  <sheetData>
    <row r="1">
      <c r="A1" s="1" t="inlineStr">
        <is>
          <t>13-Week Cash Flow Forecast for SaaS: inputs</t>
        </is>
      </c>
    </row>
    <row r="2">
      <c r="A2" s="2" t="inlineStr">
        <is>
          <t>Change the blue cells on light yellow. Every other number is a live formula. Live version: https://adlega.com/blog/tools/13-week-cash-flow/</t>
        </is>
      </c>
    </row>
    <row r="4">
      <c r="A4" s="6" t="inlineStr">
        <is>
          <t>Starting point and timing</t>
        </is>
      </c>
      <c r="B4" s="7" t="n"/>
    </row>
    <row r="5">
      <c r="A5" t="inlineStr">
        <is>
          <t>Week 1 starts on (a Monday)</t>
        </is>
      </c>
      <c r="B5" s="15" t="n">
        <v>46321</v>
      </c>
      <c r="C5" s="2">
        <f>IF(WEEKDAY(B5,2)&lt;&gt;1,"Not a Monday: weeks will run from this day","")</f>
        <v/>
      </c>
    </row>
    <row r="6">
      <c r="A6" t="inlineStr">
        <is>
          <t>Opening cash</t>
        </is>
      </c>
      <c r="B6" s="14" t="n">
        <v>600000</v>
      </c>
    </row>
    <row r="7">
      <c r="A7" t="inlineStr">
        <is>
          <t>Minimum cash</t>
        </is>
      </c>
      <c r="B7" s="14" t="n">
        <v>400000</v>
      </c>
    </row>
    <row r="8">
      <c r="A8" t="inlineStr">
        <is>
          <t>Subscriptions billed per month</t>
        </is>
      </c>
      <c r="B8" s="14" t="n">
        <v>60000</v>
      </c>
    </row>
    <row r="9">
      <c r="A9" t="inlineStr">
        <is>
          <t>Billings growth per month</t>
        </is>
      </c>
      <c r="B9" s="16" t="n">
        <v>0.02</v>
      </c>
    </row>
    <row r="10">
      <c r="A10" t="inlineStr">
        <is>
          <t>Billing day of month (1 to 31)</t>
        </is>
      </c>
      <c r="B10" s="11" t="n">
        <v>1</v>
      </c>
    </row>
    <row r="11">
      <c r="A11" t="inlineStr">
        <is>
          <t>Share paid by card</t>
        </is>
      </c>
      <c r="B11" s="17" t="n">
        <v>0.6</v>
      </c>
    </row>
    <row r="12">
      <c r="A12" t="inlineStr">
        <is>
          <t>Card payout delay (days)</t>
        </is>
      </c>
      <c r="B12" s="11" t="n">
        <v>2</v>
      </c>
    </row>
    <row r="13">
      <c r="A13" t="inlineStr">
        <is>
          <t>Invoice terms (days)</t>
        </is>
      </c>
      <c r="B13" s="11" t="n">
        <v>30</v>
      </c>
    </row>
    <row r="14">
      <c r="A14" t="inlineStr">
        <is>
          <t>Payroll per month, incl. employer taxes and benefits</t>
        </is>
      </c>
      <c r="B14" s="14" t="n">
        <v>110000</v>
      </c>
    </row>
    <row r="15">
      <c r="A15" t="inlineStr">
        <is>
          <t>Pay frequency</t>
        </is>
      </c>
      <c r="B15" s="18" t="inlineStr">
        <is>
          <t>Semi-monthly</t>
        </is>
      </c>
      <c r="C15" s="2" t="inlineStr">
        <is>
          <t>Biweekly = every other Friday; Semi-monthly = 15th and last day; Monthly = last day</t>
        </is>
      </c>
    </row>
    <row r="16">
      <c r="A16" t="inlineStr">
        <is>
          <t>First biweekly payday: Friday of week (1 or 2)</t>
        </is>
      </c>
      <c r="B16" s="11" t="n">
        <v>1</v>
      </c>
    </row>
    <row r="17">
      <c r="A17" t="inlineStr">
        <is>
          <t>Rent per month</t>
        </is>
      </c>
      <c r="B17" s="14" t="n">
        <v>6000</v>
      </c>
    </row>
    <row r="18">
      <c r="A18" t="inlineStr">
        <is>
          <t>Rent paid on day</t>
        </is>
      </c>
      <c r="B18" s="11" t="n">
        <v>1</v>
      </c>
    </row>
    <row r="19">
      <c r="A19" t="inlineStr">
        <is>
          <t>Software per month</t>
        </is>
      </c>
      <c r="B19" s="14" t="n">
        <v>9000</v>
      </c>
    </row>
    <row r="20">
      <c r="A20" t="inlineStr">
        <is>
          <t>Software paid on day</t>
        </is>
      </c>
      <c r="B20" s="11" t="n">
        <v>5</v>
      </c>
    </row>
    <row r="21">
      <c r="A21" t="inlineStr">
        <is>
          <t>Payment processing and variable costs, % of customer collections</t>
        </is>
      </c>
      <c r="B21" s="16" t="n">
        <v>0.025</v>
      </c>
    </row>
    <row r="22">
      <c r="A22" s="6" t="inlineStr">
        <is>
          <t>Annual invoices (cash arrives on the Monday of the invoice week + terms)</t>
        </is>
      </c>
      <c r="B22" s="7" t="n"/>
      <c r="C22" s="7" t="n"/>
      <c r="D22" s="7" t="n"/>
      <c r="E22" s="7" t="n"/>
      <c r="F22" s="7" t="n"/>
    </row>
    <row r="23">
      <c r="A23" s="13" t="inlineStr">
        <is>
          <t>Customer</t>
        </is>
      </c>
      <c r="B23" s="13" t="inlineStr">
        <is>
          <t>Amount</t>
        </is>
      </c>
      <c r="C23" s="13" t="inlineStr">
        <is>
          <t>Invoice week</t>
        </is>
      </c>
      <c r="D23" s="13" t="inlineStr">
        <is>
          <t>Terms (days)</t>
        </is>
      </c>
      <c r="E23" s="13" t="inlineStr">
        <is>
          <t>Paid on</t>
        </is>
      </c>
      <c r="F23" s="13" t="inlineStr">
        <is>
          <t>Paid in week</t>
        </is>
      </c>
    </row>
    <row r="24">
      <c r="A24" s="18" t="inlineStr">
        <is>
          <t>Annual renewal, customer A</t>
        </is>
      </c>
      <c r="B24" s="14" t="n">
        <v>36000</v>
      </c>
      <c r="C24" s="11" t="n">
        <v>3</v>
      </c>
      <c r="D24" s="11" t="n">
        <v>30</v>
      </c>
      <c r="E24" s="4">
        <f>IF(B24="","",Inputs!$B$5+7*(C24-1)+D24)</f>
        <v/>
      </c>
      <c r="F24">
        <f>IF(B24="","",IF(INT((E24-Inputs!$B$5)/7)+1&gt;13,"After week 13",INT((E24-Inputs!$B$5)/7)+1))</f>
        <v/>
      </c>
    </row>
    <row r="25">
      <c r="A25" s="18" t="inlineStr">
        <is>
          <t>Annual renewal, customer B</t>
        </is>
      </c>
      <c r="B25" s="14" t="n">
        <v>24000</v>
      </c>
      <c r="C25" s="11" t="n">
        <v>8</v>
      </c>
      <c r="D25" s="11" t="n">
        <v>45</v>
      </c>
      <c r="E25" s="4">
        <f>IF(B25="","",Inputs!$B$5+7*(C25-1)+D25)</f>
        <v/>
      </c>
      <c r="F25">
        <f>IF(B25="","",IF(INT((E25-Inputs!$B$5)/7)+1&gt;13,"After week 13",INT((E25-Inputs!$B$5)/7)+1))</f>
        <v/>
      </c>
    </row>
    <row r="26">
      <c r="A26" s="18" t="n"/>
      <c r="B26" s="14" t="n"/>
      <c r="C26" s="11" t="n"/>
      <c r="D26" s="11" t="n"/>
      <c r="E26" s="4">
        <f>IF(B26="","",Inputs!$B$5+7*(C26-1)+D26)</f>
        <v/>
      </c>
      <c r="F26">
        <f>IF(B26="","",IF(INT((E26-Inputs!$B$5)/7)+1&gt;13,"After week 13",INT((E26-Inputs!$B$5)/7)+1))</f>
        <v/>
      </c>
    </row>
    <row r="27">
      <c r="A27" s="18" t="n"/>
      <c r="B27" s="14" t="n"/>
      <c r="C27" s="11" t="n"/>
      <c r="D27" s="11" t="n"/>
      <c r="E27" s="4">
        <f>IF(B27="","",Inputs!$B$5+7*(C27-1)+D27)</f>
        <v/>
      </c>
      <c r="F27">
        <f>IF(B27="","",IF(INT((E27-Inputs!$B$5)/7)+1&gt;13,"After week 13",INT((E27-Inputs!$B$5)/7)+1))</f>
        <v/>
      </c>
    </row>
    <row r="28">
      <c r="A28" s="18" t="n"/>
      <c r="B28" s="14" t="n"/>
      <c r="C28" s="11" t="n"/>
      <c r="D28" s="11" t="n"/>
      <c r="E28" s="4">
        <f>IF(B28="","",Inputs!$B$5+7*(C28-1)+D28)</f>
        <v/>
      </c>
      <c r="F28">
        <f>IF(B28="","",IF(INT((E28-Inputs!$B$5)/7)+1&gt;13,"After week 13",INT((E28-Inputs!$B$5)/7)+1))</f>
        <v/>
      </c>
    </row>
    <row r="29">
      <c r="A29" s="18" t="n"/>
      <c r="B29" s="14" t="n"/>
      <c r="C29" s="11" t="n"/>
      <c r="D29" s="11" t="n"/>
      <c r="E29" s="4">
        <f>IF(B29="","",Inputs!$B$5+7*(C29-1)+D29)</f>
        <v/>
      </c>
      <c r="F29">
        <f>IF(B29="","",IF(INT((E29-Inputs!$B$5)/7)+1&gt;13,"After week 13",INT((E29-Inputs!$B$5)/7)+1))</f>
        <v/>
      </c>
    </row>
    <row r="30">
      <c r="A30" s="18" t="n"/>
      <c r="B30" s="14" t="n"/>
      <c r="C30" s="11" t="n"/>
      <c r="D30" s="11" t="n"/>
      <c r="E30" s="4">
        <f>IF(B30="","",Inputs!$B$5+7*(C30-1)+D30)</f>
        <v/>
      </c>
      <c r="F30">
        <f>IF(B30="","",IF(INT((E30-Inputs!$B$5)/7)+1&gt;13,"After week 13",INT((E30-Inputs!$B$5)/7)+1))</f>
        <v/>
      </c>
    </row>
    <row r="31">
      <c r="A31" s="18" t="n"/>
      <c r="B31" s="14" t="n"/>
      <c r="C31" s="11" t="n"/>
      <c r="D31" s="11" t="n"/>
      <c r="E31" s="4">
        <f>IF(B31="","",Inputs!$B$5+7*(C31-1)+D31)</f>
        <v/>
      </c>
      <c r="F31">
        <f>IF(B31="","",IF(INT((E31-Inputs!$B$5)/7)+1&gt;13,"After week 13",INT((E31-Inputs!$B$5)/7)+1))</f>
        <v/>
      </c>
    </row>
    <row r="33">
      <c r="A33" s="6" t="inlineStr">
        <is>
          <t>Other receipts (overdue invoices, refunds, interest, loan drawdowns)</t>
        </is>
      </c>
      <c r="B33" s="7" t="n"/>
      <c r="C33" s="7" t="n"/>
    </row>
    <row r="34">
      <c r="A34" s="13" t="inlineStr">
        <is>
          <t>Item</t>
        </is>
      </c>
      <c r="B34" s="13" t="inlineStr">
        <is>
          <t>Amount</t>
        </is>
      </c>
      <c r="C34" s="13" t="inlineStr">
        <is>
          <t>Week (1 to 26)</t>
        </is>
      </c>
    </row>
    <row r="35">
      <c r="A35" s="18" t="inlineStr">
        <is>
          <t>Interest on deposits</t>
        </is>
      </c>
      <c r="B35" s="14" t="n">
        <v>1500</v>
      </c>
      <c r="C35" s="11" t="n">
        <v>6</v>
      </c>
    </row>
    <row r="36">
      <c r="A36" s="18" t="n"/>
      <c r="B36" s="14" t="n"/>
      <c r="C36" s="11" t="n"/>
    </row>
    <row r="37">
      <c r="A37" s="18" t="n"/>
      <c r="B37" s="14" t="n"/>
      <c r="C37" s="11" t="n"/>
    </row>
    <row r="38">
      <c r="A38" s="18" t="n"/>
      <c r="B38" s="14" t="n"/>
      <c r="C38" s="11" t="n"/>
    </row>
    <row r="39">
      <c r="A39" s="18" t="n"/>
      <c r="B39" s="14" t="n"/>
      <c r="C39" s="11" t="n"/>
    </row>
    <row r="40">
      <c r="A40" s="18" t="n"/>
      <c r="B40" s="14" t="n"/>
      <c r="C40" s="11" t="n"/>
    </row>
    <row r="42">
      <c r="A42" s="6" t="inlineStr">
        <is>
          <t>Vendor payables (in the week you plan to pay)</t>
        </is>
      </c>
      <c r="B42" s="7" t="n"/>
      <c r="C42" s="7" t="n"/>
    </row>
    <row r="43">
      <c r="A43" s="13" t="inlineStr">
        <is>
          <t>Item</t>
        </is>
      </c>
      <c r="B43" s="13" t="inlineStr">
        <is>
          <t>Amount</t>
        </is>
      </c>
      <c r="C43" s="13" t="inlineStr">
        <is>
          <t>Week (1 to 26)</t>
        </is>
      </c>
    </row>
    <row r="44">
      <c r="A44" s="18" t="inlineStr">
        <is>
          <t>Cloud hosting</t>
        </is>
      </c>
      <c r="B44" s="14" t="n">
        <v>12000</v>
      </c>
      <c r="C44" s="11" t="n">
        <v>2</v>
      </c>
    </row>
    <row r="45">
      <c r="A45" s="18" t="inlineStr">
        <is>
          <t>Cloud hosting</t>
        </is>
      </c>
      <c r="B45" s="14" t="n">
        <v>12000</v>
      </c>
      <c r="C45" s="11" t="n">
        <v>6</v>
      </c>
    </row>
    <row r="46">
      <c r="A46" s="18" t="inlineStr">
        <is>
          <t>Cloud hosting</t>
        </is>
      </c>
      <c r="B46" s="14" t="n">
        <v>12000</v>
      </c>
      <c r="C46" s="11" t="n">
        <v>10</v>
      </c>
    </row>
    <row r="47">
      <c r="A47" s="18" t="inlineStr">
        <is>
          <t>Contractors</t>
        </is>
      </c>
      <c r="B47" s="14" t="n">
        <v>8000</v>
      </c>
      <c r="C47" s="11" t="n">
        <v>4</v>
      </c>
    </row>
    <row r="48">
      <c r="A48" s="18" t="n"/>
      <c r="B48" s="14" t="n"/>
      <c r="C48" s="11" t="n"/>
    </row>
    <row r="49">
      <c r="A49" s="18" t="n"/>
      <c r="B49" s="14" t="n"/>
      <c r="C49" s="11" t="n"/>
    </row>
    <row r="50">
      <c r="A50" s="18" t="n"/>
      <c r="B50" s="14" t="n"/>
      <c r="C50" s="11" t="n"/>
    </row>
    <row r="51">
      <c r="A51" s="18" t="n"/>
      <c r="B51" s="14" t="n"/>
      <c r="C51" s="11" t="n"/>
    </row>
    <row r="52">
      <c r="A52" s="18" t="n"/>
      <c r="B52" s="14" t="n"/>
      <c r="C52" s="11" t="n"/>
    </row>
    <row r="53">
      <c r="A53" s="18" t="n"/>
      <c r="B53" s="14" t="n"/>
      <c r="C53" s="11" t="n"/>
    </row>
    <row r="54">
      <c r="A54" s="18" t="n"/>
      <c r="B54" s="14" t="n"/>
      <c r="C54" s="11" t="n"/>
    </row>
    <row r="55">
      <c r="A55" s="18" t="n"/>
      <c r="B55" s="14" t="n"/>
      <c r="C55" s="11" t="n"/>
    </row>
    <row r="57">
      <c r="A57" s="6" t="inlineStr">
        <is>
          <t>One-off payments (tax, insurance, bonuses, loan repayments)</t>
        </is>
      </c>
      <c r="B57" s="7" t="n"/>
      <c r="C57" s="7" t="n"/>
    </row>
    <row r="58">
      <c r="A58" s="13" t="inlineStr">
        <is>
          <t>Item</t>
        </is>
      </c>
      <c r="B58" s="13" t="inlineStr">
        <is>
          <t>Amount</t>
        </is>
      </c>
      <c r="C58" s="13" t="inlineStr">
        <is>
          <t>Week (1 to 26)</t>
        </is>
      </c>
    </row>
    <row r="59">
      <c r="A59" s="18" t="inlineStr">
        <is>
          <t>Insurance renewal</t>
        </is>
      </c>
      <c r="B59" s="14" t="n">
        <v>18000</v>
      </c>
      <c r="C59" s="11" t="n">
        <v>5</v>
      </c>
    </row>
    <row r="60">
      <c r="A60" s="18" t="inlineStr">
        <is>
          <t>Year-end bonuses</t>
        </is>
      </c>
      <c r="B60" s="14" t="n">
        <v>30000</v>
      </c>
      <c r="C60" s="11" t="n">
        <v>8</v>
      </c>
    </row>
    <row r="61">
      <c r="A61" s="18" t="inlineStr">
        <is>
          <t>Loan repayment</t>
        </is>
      </c>
      <c r="B61" s="14" t="n">
        <v>15000</v>
      </c>
      <c r="C61" s="11" t="n">
        <v>10</v>
      </c>
    </row>
    <row r="62">
      <c r="A62" s="18" t="n"/>
      <c r="B62" s="14" t="n"/>
      <c r="C62" s="11" t="n"/>
    </row>
    <row r="63">
      <c r="A63" s="18" t="n"/>
      <c r="B63" s="14" t="n"/>
      <c r="C63" s="11" t="n"/>
    </row>
    <row r="64">
      <c r="A64" s="18" t="n"/>
      <c r="B64" s="14" t="n"/>
      <c r="C64" s="11" t="n"/>
    </row>
    <row r="65">
      <c r="A65" s="18" t="n"/>
      <c r="B65" s="14" t="n"/>
      <c r="C65" s="11" t="n"/>
    </row>
    <row r="66">
      <c r="A66" s="18" t="n"/>
      <c r="B66" s="14" t="n"/>
      <c r="C66" s="11" t="n"/>
    </row>
  </sheetData>
  <dataValidations count="4">
    <dataValidation sqref="B15" showDropDown="0" showInputMessage="0" showErrorMessage="0" allowBlank="0" type="list">
      <formula1>"Biweekly,Semi-monthly,Monthly"</formula1>
    </dataValidation>
    <dataValidation sqref="B10" showDropDown="0" showInputMessage="0" showErrorMessage="0" allowBlank="0" type="whole" operator="between">
      <formula1>1</formula1>
      <formula2>31</formula2>
    </dataValidation>
    <dataValidation sqref="B18" showDropDown="0" showInputMessage="0" showErrorMessage="0" allowBlank="0" type="whole" operator="between">
      <formula1>1</formula1>
      <formula2>31</formula2>
    </dataValidation>
    <dataValidation sqref="B20" showDropDown="0" showInputMessage="0" showErrorMessage="0" allowBlank="0" type="whole" operator="between">
      <formula1>1</formula1>
      <formula2>31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9" customWidth="1" min="3" max="3"/>
    <col width="13" customWidth="1" min="4" max="4"/>
    <col width="15" customWidth="1" min="5" max="5"/>
    <col width="13" customWidth="1" min="6" max="6"/>
    <col width="15" customWidth="1" min="7" max="7"/>
    <col width="13" customWidth="1" min="8" max="8"/>
    <col width="3" customWidth="1" min="9" max="9"/>
    <col width="15" customWidth="1" min="10" max="10"/>
    <col width="13" customWidth="1" min="11" max="11"/>
    <col width="15" customWidth="1" min="12" max="12"/>
    <col width="13" customWidth="1" min="13" max="13"/>
    <col width="15" customWidth="1" min="14" max="14"/>
    <col width="13" customWidth="1" min="15" max="15"/>
    <col width="3" customWidth="1" min="16" max="16"/>
    <col width="6" customWidth="1" min="17" max="17"/>
    <col width="15" customWidth="1" min="18" max="18"/>
    <col width="13" customWidth="1" min="19" max="19"/>
    <col width="3" customWidth="1" min="20" max="20"/>
    <col width="15" customWidth="1" min="21" max="21"/>
    <col width="13" customWidth="1" min="22" max="22"/>
    <col width="15" customWidth="1" min="23" max="23"/>
    <col width="13" customWidth="1" min="24" max="24"/>
  </cols>
  <sheetData>
    <row r="1">
      <c r="A1" s="1" t="inlineStr">
        <is>
          <t>Schedule: every billing, payroll, rent and software date the forecast uses</t>
        </is>
      </c>
    </row>
    <row r="2">
      <c r="A2" s="2" t="inlineStr">
        <is>
          <t>All formulas. Billing amount grows from the first bill on or after week 1; earlier bills are at the current monthly amount.</t>
        </is>
      </c>
    </row>
    <row r="4">
      <c r="A4" s="13" t="inlineStr">
        <is>
          <t>Month offset</t>
        </is>
      </c>
      <c r="B4" s="13" t="inlineStr">
        <is>
          <t>Bill date</t>
        </is>
      </c>
      <c r="C4" s="13" t="inlineStr">
        <is>
          <t>Bill no.</t>
        </is>
      </c>
      <c r="D4" s="13" t="inlineStr">
        <is>
          <t>Billed</t>
        </is>
      </c>
      <c r="E4" s="13" t="inlineStr">
        <is>
          <t>Card cash date</t>
        </is>
      </c>
      <c r="F4" s="13" t="inlineStr">
        <is>
          <t>Card cash</t>
        </is>
      </c>
      <c r="G4" s="13" t="inlineStr">
        <is>
          <t>Invoice cash date</t>
        </is>
      </c>
      <c r="H4" s="13" t="inlineStr">
        <is>
          <t>Invoice cash</t>
        </is>
      </c>
      <c r="I4" s="13" t="inlineStr"/>
      <c r="J4" s="13" t="inlineStr">
        <is>
          <t>15th payday</t>
        </is>
      </c>
      <c r="K4" s="13" t="inlineStr">
        <is>
          <t>Amount</t>
        </is>
      </c>
      <c r="L4" s="13" t="inlineStr">
        <is>
          <t>Month-end payday</t>
        </is>
      </c>
      <c r="M4" s="13" t="inlineStr">
        <is>
          <t>Amount</t>
        </is>
      </c>
      <c r="N4" s="13" t="inlineStr">
        <is>
          <t>Rent date</t>
        </is>
      </c>
      <c r="O4" s="13" t="inlineStr">
        <is>
          <t>Rent</t>
        </is>
      </c>
      <c r="P4" s="13" t="inlineStr"/>
      <c r="Q4" s="13" t="inlineStr">
        <is>
          <t>Run</t>
        </is>
      </c>
      <c r="R4" s="13" t="inlineStr">
        <is>
          <t>Biweekly payday</t>
        </is>
      </c>
      <c r="S4" s="13" t="inlineStr">
        <is>
          <t>Amount</t>
        </is>
      </c>
      <c r="T4" s="13" t="inlineStr"/>
      <c r="U4" s="13" t="inlineStr">
        <is>
          <t>Software date</t>
        </is>
      </c>
      <c r="V4" s="13" t="inlineStr">
        <is>
          <t>Software</t>
        </is>
      </c>
    </row>
    <row r="5">
      <c r="A5" t="n">
        <v>-4</v>
      </c>
      <c r="B5" s="4">
        <f>DATE(YEAR(Inputs!$B$5),MONTH(Inputs!$B$5)+A5,MIN(MAX(1,ROUND(Inputs!$B$10,0)),DAY(EOMONTH(DATE(YEAR(Inputs!$B$5),MONTH(Inputs!$B$5)+A5,1),0))))</f>
        <v/>
      </c>
      <c r="C5">
        <f>IF(B5&gt;=Inputs!$B$5,0,-1)</f>
        <v/>
      </c>
      <c r="D5" s="5">
        <f>Inputs!$B$8*IF(C5&gt;=0,(1+Inputs!$B$9)^C5,1)</f>
        <v/>
      </c>
      <c r="E5" s="4">
        <f>B5+Inputs!$B$12</f>
        <v/>
      </c>
      <c r="F5" s="5">
        <f>D5*MIN(1,MAX(0,Inputs!$B$11))</f>
        <v/>
      </c>
      <c r="G5" s="4">
        <f>B5+Inputs!$B$13</f>
        <v/>
      </c>
      <c r="H5" s="5">
        <f>D5-F5</f>
        <v/>
      </c>
      <c r="J5" s="4">
        <f>DATE(YEAR(Inputs!$B$5),MONTH(Inputs!$B$5)+A5,15)</f>
        <v/>
      </c>
      <c r="K5" s="5">
        <f>IF(Inputs!$B$15="Semi-monthly",Inputs!$B$14/2,0)</f>
        <v/>
      </c>
      <c r="L5" s="4">
        <f>EOMONTH(DATE(YEAR(Inputs!$B$5),MONTH(Inputs!$B$5)+A5,1),0)</f>
        <v/>
      </c>
      <c r="M5" s="5">
        <f>IF(Inputs!$B$15="Semi-monthly",Inputs!$B$14/2,IF(Inputs!$B$15="Monthly",Inputs!$B$14,0))</f>
        <v/>
      </c>
      <c r="N5" s="4">
        <f>DATE(YEAR(Inputs!$B$5),MONTH(Inputs!$B$5)+A5,MIN(MAX(1,ROUND(Inputs!$B$18,0)),DAY(EOMONTH(DATE(YEAR(Inputs!$B$5),MONTH(Inputs!$B$5)+A5,1),0))))</f>
        <v/>
      </c>
      <c r="O5" s="5">
        <f>Inputs!$B$17</f>
        <v/>
      </c>
      <c r="Q5" t="n">
        <v>0</v>
      </c>
      <c r="R5" s="4">
        <f>Inputs!$B$5+7*(MAX(1,ROUND(Inputs!$B$16,0))-1)+4+14*Q5</f>
        <v/>
      </c>
      <c r="S5" s="5">
        <f>IF(Inputs!$B$15="Biweekly",Inputs!$B$14*12/26,0)</f>
        <v/>
      </c>
      <c r="U5" s="4">
        <f>DATE(YEAR(Inputs!$B$5),MONTH(Inputs!$B$5)+A5,MIN(MAX(1,ROUND(Inputs!$B$20,0)),DAY(EOMONTH(DATE(YEAR(Inputs!$B$5),MONTH(Inputs!$B$5)+A5,1),0))))</f>
        <v/>
      </c>
      <c r="V5" s="5">
        <f>Inputs!$B$19</f>
        <v/>
      </c>
    </row>
    <row r="6">
      <c r="A6" t="n">
        <v>-3</v>
      </c>
      <c r="B6" s="4">
        <f>DATE(YEAR(Inputs!$B$5),MONTH(Inputs!$B$5)+A6,MIN(MAX(1,ROUND(Inputs!$B$10,0)),DAY(EOMONTH(DATE(YEAR(Inputs!$B$5),MONTH(Inputs!$B$5)+A6,1),0))))</f>
        <v/>
      </c>
      <c r="C6">
        <f>IF(B6&gt;=Inputs!$B$5,COUNTIF(B$5:B5,"&gt;="&amp;Inputs!$B$5),-1)</f>
        <v/>
      </c>
      <c r="D6" s="5">
        <f>Inputs!$B$8*IF(C6&gt;=0,(1+Inputs!$B$9)^C6,1)</f>
        <v/>
      </c>
      <c r="E6" s="4">
        <f>B6+Inputs!$B$12</f>
        <v/>
      </c>
      <c r="F6" s="5">
        <f>D6*MIN(1,MAX(0,Inputs!$B$11))</f>
        <v/>
      </c>
      <c r="G6" s="4">
        <f>B6+Inputs!$B$13</f>
        <v/>
      </c>
      <c r="H6" s="5">
        <f>D6-F6</f>
        <v/>
      </c>
      <c r="J6" s="4">
        <f>DATE(YEAR(Inputs!$B$5),MONTH(Inputs!$B$5)+A6,15)</f>
        <v/>
      </c>
      <c r="K6" s="5">
        <f>IF(Inputs!$B$15="Semi-monthly",Inputs!$B$14/2,0)</f>
        <v/>
      </c>
      <c r="L6" s="4">
        <f>EOMONTH(DATE(YEAR(Inputs!$B$5),MONTH(Inputs!$B$5)+A6,1),0)</f>
        <v/>
      </c>
      <c r="M6" s="5">
        <f>IF(Inputs!$B$15="Semi-monthly",Inputs!$B$14/2,IF(Inputs!$B$15="Monthly",Inputs!$B$14,0))</f>
        <v/>
      </c>
      <c r="N6" s="4">
        <f>DATE(YEAR(Inputs!$B$5),MONTH(Inputs!$B$5)+A6,MIN(MAX(1,ROUND(Inputs!$B$18,0)),DAY(EOMONTH(DATE(YEAR(Inputs!$B$5),MONTH(Inputs!$B$5)+A6,1),0))))</f>
        <v/>
      </c>
      <c r="O6" s="5">
        <f>Inputs!$B$17</f>
        <v/>
      </c>
      <c r="Q6" t="n">
        <v>1</v>
      </c>
      <c r="R6" s="4">
        <f>Inputs!$B$5+7*(MAX(1,ROUND(Inputs!$B$16,0))-1)+4+14*Q6</f>
        <v/>
      </c>
      <c r="S6" s="5">
        <f>IF(Inputs!$B$15="Biweekly",Inputs!$B$14*12/26,0)</f>
        <v/>
      </c>
      <c r="U6" s="4">
        <f>DATE(YEAR(Inputs!$B$5),MONTH(Inputs!$B$5)+A6,MIN(MAX(1,ROUND(Inputs!$B$20,0)),DAY(EOMONTH(DATE(YEAR(Inputs!$B$5),MONTH(Inputs!$B$5)+A6,1),0))))</f>
        <v/>
      </c>
      <c r="V6" s="5">
        <f>Inputs!$B$19</f>
        <v/>
      </c>
    </row>
    <row r="7">
      <c r="A7" t="n">
        <v>-2</v>
      </c>
      <c r="B7" s="4">
        <f>DATE(YEAR(Inputs!$B$5),MONTH(Inputs!$B$5)+A7,MIN(MAX(1,ROUND(Inputs!$B$10,0)),DAY(EOMONTH(DATE(YEAR(Inputs!$B$5),MONTH(Inputs!$B$5)+A7,1),0))))</f>
        <v/>
      </c>
      <c r="C7">
        <f>IF(B7&gt;=Inputs!$B$5,COUNTIF(B$5:B6,"&gt;="&amp;Inputs!$B$5),-1)</f>
        <v/>
      </c>
      <c r="D7" s="5">
        <f>Inputs!$B$8*IF(C7&gt;=0,(1+Inputs!$B$9)^C7,1)</f>
        <v/>
      </c>
      <c r="E7" s="4">
        <f>B7+Inputs!$B$12</f>
        <v/>
      </c>
      <c r="F7" s="5">
        <f>D7*MIN(1,MAX(0,Inputs!$B$11))</f>
        <v/>
      </c>
      <c r="G7" s="4">
        <f>B7+Inputs!$B$13</f>
        <v/>
      </c>
      <c r="H7" s="5">
        <f>D7-F7</f>
        <v/>
      </c>
      <c r="J7" s="4">
        <f>DATE(YEAR(Inputs!$B$5),MONTH(Inputs!$B$5)+A7,15)</f>
        <v/>
      </c>
      <c r="K7" s="5">
        <f>IF(Inputs!$B$15="Semi-monthly",Inputs!$B$14/2,0)</f>
        <v/>
      </c>
      <c r="L7" s="4">
        <f>EOMONTH(DATE(YEAR(Inputs!$B$5),MONTH(Inputs!$B$5)+A7,1),0)</f>
        <v/>
      </c>
      <c r="M7" s="5">
        <f>IF(Inputs!$B$15="Semi-monthly",Inputs!$B$14/2,IF(Inputs!$B$15="Monthly",Inputs!$B$14,0))</f>
        <v/>
      </c>
      <c r="N7" s="4">
        <f>DATE(YEAR(Inputs!$B$5),MONTH(Inputs!$B$5)+A7,MIN(MAX(1,ROUND(Inputs!$B$18,0)),DAY(EOMONTH(DATE(YEAR(Inputs!$B$5),MONTH(Inputs!$B$5)+A7,1),0))))</f>
        <v/>
      </c>
      <c r="O7" s="5">
        <f>Inputs!$B$17</f>
        <v/>
      </c>
      <c r="Q7" t="n">
        <v>2</v>
      </c>
      <c r="R7" s="4">
        <f>Inputs!$B$5+7*(MAX(1,ROUND(Inputs!$B$16,0))-1)+4+14*Q7</f>
        <v/>
      </c>
      <c r="S7" s="5">
        <f>IF(Inputs!$B$15="Biweekly",Inputs!$B$14*12/26,0)</f>
        <v/>
      </c>
      <c r="U7" s="4">
        <f>DATE(YEAR(Inputs!$B$5),MONTH(Inputs!$B$5)+A7,MIN(MAX(1,ROUND(Inputs!$B$20,0)),DAY(EOMONTH(DATE(YEAR(Inputs!$B$5),MONTH(Inputs!$B$5)+A7,1),0))))</f>
        <v/>
      </c>
      <c r="V7" s="5">
        <f>Inputs!$B$19</f>
        <v/>
      </c>
    </row>
    <row r="8">
      <c r="A8" t="n">
        <v>-1</v>
      </c>
      <c r="B8" s="4">
        <f>DATE(YEAR(Inputs!$B$5),MONTH(Inputs!$B$5)+A8,MIN(MAX(1,ROUND(Inputs!$B$10,0)),DAY(EOMONTH(DATE(YEAR(Inputs!$B$5),MONTH(Inputs!$B$5)+A8,1),0))))</f>
        <v/>
      </c>
      <c r="C8">
        <f>IF(B8&gt;=Inputs!$B$5,COUNTIF(B$5:B7,"&gt;="&amp;Inputs!$B$5),-1)</f>
        <v/>
      </c>
      <c r="D8" s="5">
        <f>Inputs!$B$8*IF(C8&gt;=0,(1+Inputs!$B$9)^C8,1)</f>
        <v/>
      </c>
      <c r="E8" s="4">
        <f>B8+Inputs!$B$12</f>
        <v/>
      </c>
      <c r="F8" s="5">
        <f>D8*MIN(1,MAX(0,Inputs!$B$11))</f>
        <v/>
      </c>
      <c r="G8" s="4">
        <f>B8+Inputs!$B$13</f>
        <v/>
      </c>
      <c r="H8" s="5">
        <f>D8-F8</f>
        <v/>
      </c>
      <c r="J8" s="4">
        <f>DATE(YEAR(Inputs!$B$5),MONTH(Inputs!$B$5)+A8,15)</f>
        <v/>
      </c>
      <c r="K8" s="5">
        <f>IF(Inputs!$B$15="Semi-monthly",Inputs!$B$14/2,0)</f>
        <v/>
      </c>
      <c r="L8" s="4">
        <f>EOMONTH(DATE(YEAR(Inputs!$B$5),MONTH(Inputs!$B$5)+A8,1),0)</f>
        <v/>
      </c>
      <c r="M8" s="5">
        <f>IF(Inputs!$B$15="Semi-monthly",Inputs!$B$14/2,IF(Inputs!$B$15="Monthly",Inputs!$B$14,0))</f>
        <v/>
      </c>
      <c r="N8" s="4">
        <f>DATE(YEAR(Inputs!$B$5),MONTH(Inputs!$B$5)+A8,MIN(MAX(1,ROUND(Inputs!$B$18,0)),DAY(EOMONTH(DATE(YEAR(Inputs!$B$5),MONTH(Inputs!$B$5)+A8,1),0))))</f>
        <v/>
      </c>
      <c r="O8" s="5">
        <f>Inputs!$B$17</f>
        <v/>
      </c>
      <c r="Q8" t="n">
        <v>3</v>
      </c>
      <c r="R8" s="4">
        <f>Inputs!$B$5+7*(MAX(1,ROUND(Inputs!$B$16,0))-1)+4+14*Q8</f>
        <v/>
      </c>
      <c r="S8" s="5">
        <f>IF(Inputs!$B$15="Biweekly",Inputs!$B$14*12/26,0)</f>
        <v/>
      </c>
      <c r="U8" s="4">
        <f>DATE(YEAR(Inputs!$B$5),MONTH(Inputs!$B$5)+A8,MIN(MAX(1,ROUND(Inputs!$B$20,0)),DAY(EOMONTH(DATE(YEAR(Inputs!$B$5),MONTH(Inputs!$B$5)+A8,1),0))))</f>
        <v/>
      </c>
      <c r="V8" s="5">
        <f>Inputs!$B$19</f>
        <v/>
      </c>
    </row>
    <row r="9">
      <c r="A9" t="n">
        <v>0</v>
      </c>
      <c r="B9" s="4">
        <f>DATE(YEAR(Inputs!$B$5),MONTH(Inputs!$B$5)+A9,MIN(MAX(1,ROUND(Inputs!$B$10,0)),DAY(EOMONTH(DATE(YEAR(Inputs!$B$5),MONTH(Inputs!$B$5)+A9,1),0))))</f>
        <v/>
      </c>
      <c r="C9">
        <f>IF(B9&gt;=Inputs!$B$5,COUNTIF(B$5:B8,"&gt;="&amp;Inputs!$B$5),-1)</f>
        <v/>
      </c>
      <c r="D9" s="5">
        <f>Inputs!$B$8*IF(C9&gt;=0,(1+Inputs!$B$9)^C9,1)</f>
        <v/>
      </c>
      <c r="E9" s="4">
        <f>B9+Inputs!$B$12</f>
        <v/>
      </c>
      <c r="F9" s="5">
        <f>D9*MIN(1,MAX(0,Inputs!$B$11))</f>
        <v/>
      </c>
      <c r="G9" s="4">
        <f>B9+Inputs!$B$13</f>
        <v/>
      </c>
      <c r="H9" s="5">
        <f>D9-F9</f>
        <v/>
      </c>
      <c r="J9" s="4">
        <f>DATE(YEAR(Inputs!$B$5),MONTH(Inputs!$B$5)+A9,15)</f>
        <v/>
      </c>
      <c r="K9" s="5">
        <f>IF(Inputs!$B$15="Semi-monthly",Inputs!$B$14/2,0)</f>
        <v/>
      </c>
      <c r="L9" s="4">
        <f>EOMONTH(DATE(YEAR(Inputs!$B$5),MONTH(Inputs!$B$5)+A9,1),0)</f>
        <v/>
      </c>
      <c r="M9" s="5">
        <f>IF(Inputs!$B$15="Semi-monthly",Inputs!$B$14/2,IF(Inputs!$B$15="Monthly",Inputs!$B$14,0))</f>
        <v/>
      </c>
      <c r="N9" s="4">
        <f>DATE(YEAR(Inputs!$B$5),MONTH(Inputs!$B$5)+A9,MIN(MAX(1,ROUND(Inputs!$B$18,0)),DAY(EOMONTH(DATE(YEAR(Inputs!$B$5),MONTH(Inputs!$B$5)+A9,1),0))))</f>
        <v/>
      </c>
      <c r="O9" s="5">
        <f>Inputs!$B$17</f>
        <v/>
      </c>
      <c r="Q9" t="n">
        <v>4</v>
      </c>
      <c r="R9" s="4">
        <f>Inputs!$B$5+7*(MAX(1,ROUND(Inputs!$B$16,0))-1)+4+14*Q9</f>
        <v/>
      </c>
      <c r="S9" s="5">
        <f>IF(Inputs!$B$15="Biweekly",Inputs!$B$14*12/26,0)</f>
        <v/>
      </c>
      <c r="U9" s="4">
        <f>DATE(YEAR(Inputs!$B$5),MONTH(Inputs!$B$5)+A9,MIN(MAX(1,ROUND(Inputs!$B$20,0)),DAY(EOMONTH(DATE(YEAR(Inputs!$B$5),MONTH(Inputs!$B$5)+A9,1),0))))</f>
        <v/>
      </c>
      <c r="V9" s="5">
        <f>Inputs!$B$19</f>
        <v/>
      </c>
    </row>
    <row r="10">
      <c r="A10" t="n">
        <v>1</v>
      </c>
      <c r="B10" s="4">
        <f>DATE(YEAR(Inputs!$B$5),MONTH(Inputs!$B$5)+A10,MIN(MAX(1,ROUND(Inputs!$B$10,0)),DAY(EOMONTH(DATE(YEAR(Inputs!$B$5),MONTH(Inputs!$B$5)+A10,1),0))))</f>
        <v/>
      </c>
      <c r="C10">
        <f>IF(B10&gt;=Inputs!$B$5,COUNTIF(B$5:B9,"&gt;="&amp;Inputs!$B$5),-1)</f>
        <v/>
      </c>
      <c r="D10" s="5">
        <f>Inputs!$B$8*IF(C10&gt;=0,(1+Inputs!$B$9)^C10,1)</f>
        <v/>
      </c>
      <c r="E10" s="4">
        <f>B10+Inputs!$B$12</f>
        <v/>
      </c>
      <c r="F10" s="5">
        <f>D10*MIN(1,MAX(0,Inputs!$B$11))</f>
        <v/>
      </c>
      <c r="G10" s="4">
        <f>B10+Inputs!$B$13</f>
        <v/>
      </c>
      <c r="H10" s="5">
        <f>D10-F10</f>
        <v/>
      </c>
      <c r="J10" s="4">
        <f>DATE(YEAR(Inputs!$B$5),MONTH(Inputs!$B$5)+A10,15)</f>
        <v/>
      </c>
      <c r="K10" s="5">
        <f>IF(Inputs!$B$15="Semi-monthly",Inputs!$B$14/2,0)</f>
        <v/>
      </c>
      <c r="L10" s="4">
        <f>EOMONTH(DATE(YEAR(Inputs!$B$5),MONTH(Inputs!$B$5)+A10,1),0)</f>
        <v/>
      </c>
      <c r="M10" s="5">
        <f>IF(Inputs!$B$15="Semi-monthly",Inputs!$B$14/2,IF(Inputs!$B$15="Monthly",Inputs!$B$14,0))</f>
        <v/>
      </c>
      <c r="N10" s="4">
        <f>DATE(YEAR(Inputs!$B$5),MONTH(Inputs!$B$5)+A10,MIN(MAX(1,ROUND(Inputs!$B$18,0)),DAY(EOMONTH(DATE(YEAR(Inputs!$B$5),MONTH(Inputs!$B$5)+A10,1),0))))</f>
        <v/>
      </c>
      <c r="O10" s="5">
        <f>Inputs!$B$17</f>
        <v/>
      </c>
      <c r="Q10" t="n">
        <v>5</v>
      </c>
      <c r="R10" s="4">
        <f>Inputs!$B$5+7*(MAX(1,ROUND(Inputs!$B$16,0))-1)+4+14*Q10</f>
        <v/>
      </c>
      <c r="S10" s="5">
        <f>IF(Inputs!$B$15="Biweekly",Inputs!$B$14*12/26,0)</f>
        <v/>
      </c>
      <c r="U10" s="4">
        <f>DATE(YEAR(Inputs!$B$5),MONTH(Inputs!$B$5)+A10,MIN(MAX(1,ROUND(Inputs!$B$20,0)),DAY(EOMONTH(DATE(YEAR(Inputs!$B$5),MONTH(Inputs!$B$5)+A10,1),0))))</f>
        <v/>
      </c>
      <c r="V10" s="5">
        <f>Inputs!$B$19</f>
        <v/>
      </c>
    </row>
    <row r="11">
      <c r="A11" t="n">
        <v>2</v>
      </c>
      <c r="B11" s="4">
        <f>DATE(YEAR(Inputs!$B$5),MONTH(Inputs!$B$5)+A11,MIN(MAX(1,ROUND(Inputs!$B$10,0)),DAY(EOMONTH(DATE(YEAR(Inputs!$B$5),MONTH(Inputs!$B$5)+A11,1),0))))</f>
        <v/>
      </c>
      <c r="C11">
        <f>IF(B11&gt;=Inputs!$B$5,COUNTIF(B$5:B10,"&gt;="&amp;Inputs!$B$5),-1)</f>
        <v/>
      </c>
      <c r="D11" s="5">
        <f>Inputs!$B$8*IF(C11&gt;=0,(1+Inputs!$B$9)^C11,1)</f>
        <v/>
      </c>
      <c r="E11" s="4">
        <f>B11+Inputs!$B$12</f>
        <v/>
      </c>
      <c r="F11" s="5">
        <f>D11*MIN(1,MAX(0,Inputs!$B$11))</f>
        <v/>
      </c>
      <c r="G11" s="4">
        <f>B11+Inputs!$B$13</f>
        <v/>
      </c>
      <c r="H11" s="5">
        <f>D11-F11</f>
        <v/>
      </c>
      <c r="J11" s="4">
        <f>DATE(YEAR(Inputs!$B$5),MONTH(Inputs!$B$5)+A11,15)</f>
        <v/>
      </c>
      <c r="K11" s="5">
        <f>IF(Inputs!$B$15="Semi-monthly",Inputs!$B$14/2,0)</f>
        <v/>
      </c>
      <c r="L11" s="4">
        <f>EOMONTH(DATE(YEAR(Inputs!$B$5),MONTH(Inputs!$B$5)+A11,1),0)</f>
        <v/>
      </c>
      <c r="M11" s="5">
        <f>IF(Inputs!$B$15="Semi-monthly",Inputs!$B$14/2,IF(Inputs!$B$15="Monthly",Inputs!$B$14,0))</f>
        <v/>
      </c>
      <c r="N11" s="4">
        <f>DATE(YEAR(Inputs!$B$5),MONTH(Inputs!$B$5)+A11,MIN(MAX(1,ROUND(Inputs!$B$18,0)),DAY(EOMONTH(DATE(YEAR(Inputs!$B$5),MONTH(Inputs!$B$5)+A11,1),0))))</f>
        <v/>
      </c>
      <c r="O11" s="5">
        <f>Inputs!$B$17</f>
        <v/>
      </c>
      <c r="Q11" t="n">
        <v>6</v>
      </c>
      <c r="R11" s="4">
        <f>Inputs!$B$5+7*(MAX(1,ROUND(Inputs!$B$16,0))-1)+4+14*Q11</f>
        <v/>
      </c>
      <c r="S11" s="5">
        <f>IF(Inputs!$B$15="Biweekly",Inputs!$B$14*12/26,0)</f>
        <v/>
      </c>
      <c r="U11" s="4">
        <f>DATE(YEAR(Inputs!$B$5),MONTH(Inputs!$B$5)+A11,MIN(MAX(1,ROUND(Inputs!$B$20,0)),DAY(EOMONTH(DATE(YEAR(Inputs!$B$5),MONTH(Inputs!$B$5)+A11,1),0))))</f>
        <v/>
      </c>
      <c r="V11" s="5">
        <f>Inputs!$B$19</f>
        <v/>
      </c>
    </row>
    <row r="12">
      <c r="A12" t="n">
        <v>3</v>
      </c>
      <c r="B12" s="4">
        <f>DATE(YEAR(Inputs!$B$5),MONTH(Inputs!$B$5)+A12,MIN(MAX(1,ROUND(Inputs!$B$10,0)),DAY(EOMONTH(DATE(YEAR(Inputs!$B$5),MONTH(Inputs!$B$5)+A12,1),0))))</f>
        <v/>
      </c>
      <c r="C12">
        <f>IF(B12&gt;=Inputs!$B$5,COUNTIF(B$5:B11,"&gt;="&amp;Inputs!$B$5),-1)</f>
        <v/>
      </c>
      <c r="D12" s="5">
        <f>Inputs!$B$8*IF(C12&gt;=0,(1+Inputs!$B$9)^C12,1)</f>
        <v/>
      </c>
      <c r="E12" s="4">
        <f>B12+Inputs!$B$12</f>
        <v/>
      </c>
      <c r="F12" s="5">
        <f>D12*MIN(1,MAX(0,Inputs!$B$11))</f>
        <v/>
      </c>
      <c r="G12" s="4">
        <f>B12+Inputs!$B$13</f>
        <v/>
      </c>
      <c r="H12" s="5">
        <f>D12-F12</f>
        <v/>
      </c>
      <c r="J12" s="4">
        <f>DATE(YEAR(Inputs!$B$5),MONTH(Inputs!$B$5)+A12,15)</f>
        <v/>
      </c>
      <c r="K12" s="5">
        <f>IF(Inputs!$B$15="Semi-monthly",Inputs!$B$14/2,0)</f>
        <v/>
      </c>
      <c r="L12" s="4">
        <f>EOMONTH(DATE(YEAR(Inputs!$B$5),MONTH(Inputs!$B$5)+A12,1),0)</f>
        <v/>
      </c>
      <c r="M12" s="5">
        <f>IF(Inputs!$B$15="Semi-monthly",Inputs!$B$14/2,IF(Inputs!$B$15="Monthly",Inputs!$B$14,0))</f>
        <v/>
      </c>
      <c r="N12" s="4">
        <f>DATE(YEAR(Inputs!$B$5),MONTH(Inputs!$B$5)+A12,MIN(MAX(1,ROUND(Inputs!$B$18,0)),DAY(EOMONTH(DATE(YEAR(Inputs!$B$5),MONTH(Inputs!$B$5)+A12,1),0))))</f>
        <v/>
      </c>
      <c r="O12" s="5">
        <f>Inputs!$B$17</f>
        <v/>
      </c>
      <c r="Q12" t="n">
        <v>7</v>
      </c>
      <c r="R12" s="4">
        <f>Inputs!$B$5+7*(MAX(1,ROUND(Inputs!$B$16,0))-1)+4+14*Q12</f>
        <v/>
      </c>
      <c r="S12" s="5">
        <f>IF(Inputs!$B$15="Biweekly",Inputs!$B$14*12/26,0)</f>
        <v/>
      </c>
      <c r="U12" s="4">
        <f>DATE(YEAR(Inputs!$B$5),MONTH(Inputs!$B$5)+A12,MIN(MAX(1,ROUND(Inputs!$B$20,0)),DAY(EOMONTH(DATE(YEAR(Inputs!$B$5),MONTH(Inputs!$B$5)+A12,1),0))))</f>
        <v/>
      </c>
      <c r="V12" s="5">
        <f>Inputs!$B$19</f>
        <v/>
      </c>
    </row>
    <row r="13">
      <c r="A13" t="n">
        <v>4</v>
      </c>
      <c r="B13" s="4">
        <f>DATE(YEAR(Inputs!$B$5),MONTH(Inputs!$B$5)+A13,MIN(MAX(1,ROUND(Inputs!$B$10,0)),DAY(EOMONTH(DATE(YEAR(Inputs!$B$5),MONTH(Inputs!$B$5)+A13,1),0))))</f>
        <v/>
      </c>
      <c r="C13">
        <f>IF(B13&gt;=Inputs!$B$5,COUNTIF(B$5:B12,"&gt;="&amp;Inputs!$B$5),-1)</f>
        <v/>
      </c>
      <c r="D13" s="5">
        <f>Inputs!$B$8*IF(C13&gt;=0,(1+Inputs!$B$9)^C13,1)</f>
        <v/>
      </c>
      <c r="E13" s="4">
        <f>B13+Inputs!$B$12</f>
        <v/>
      </c>
      <c r="F13" s="5">
        <f>D13*MIN(1,MAX(0,Inputs!$B$11))</f>
        <v/>
      </c>
      <c r="G13" s="4">
        <f>B13+Inputs!$B$13</f>
        <v/>
      </c>
      <c r="H13" s="5">
        <f>D13-F13</f>
        <v/>
      </c>
      <c r="J13" s="4">
        <f>DATE(YEAR(Inputs!$B$5),MONTH(Inputs!$B$5)+A13,15)</f>
        <v/>
      </c>
      <c r="K13" s="5">
        <f>IF(Inputs!$B$15="Semi-monthly",Inputs!$B$14/2,0)</f>
        <v/>
      </c>
      <c r="L13" s="4">
        <f>EOMONTH(DATE(YEAR(Inputs!$B$5),MONTH(Inputs!$B$5)+A13,1),0)</f>
        <v/>
      </c>
      <c r="M13" s="5">
        <f>IF(Inputs!$B$15="Semi-monthly",Inputs!$B$14/2,IF(Inputs!$B$15="Monthly",Inputs!$B$14,0))</f>
        <v/>
      </c>
      <c r="N13" s="4">
        <f>DATE(YEAR(Inputs!$B$5),MONTH(Inputs!$B$5)+A13,MIN(MAX(1,ROUND(Inputs!$B$18,0)),DAY(EOMONTH(DATE(YEAR(Inputs!$B$5),MONTH(Inputs!$B$5)+A13,1),0))))</f>
        <v/>
      </c>
      <c r="O13" s="5">
        <f>Inputs!$B$17</f>
        <v/>
      </c>
      <c r="Q13" t="n">
        <v>8</v>
      </c>
      <c r="R13" s="4">
        <f>Inputs!$B$5+7*(MAX(1,ROUND(Inputs!$B$16,0))-1)+4+14*Q13</f>
        <v/>
      </c>
      <c r="S13" s="5">
        <f>IF(Inputs!$B$15="Biweekly",Inputs!$B$14*12/26,0)</f>
        <v/>
      </c>
      <c r="U13" s="4">
        <f>DATE(YEAR(Inputs!$B$5),MONTH(Inputs!$B$5)+A13,MIN(MAX(1,ROUND(Inputs!$B$20,0)),DAY(EOMONTH(DATE(YEAR(Inputs!$B$5),MONTH(Inputs!$B$5)+A13,1),0))))</f>
        <v/>
      </c>
      <c r="V13" s="5">
        <f>Inputs!$B$19</f>
        <v/>
      </c>
    </row>
    <row r="14">
      <c r="A14" t="n">
        <v>5</v>
      </c>
      <c r="B14" s="4">
        <f>DATE(YEAR(Inputs!$B$5),MONTH(Inputs!$B$5)+A14,MIN(MAX(1,ROUND(Inputs!$B$10,0)),DAY(EOMONTH(DATE(YEAR(Inputs!$B$5),MONTH(Inputs!$B$5)+A14,1),0))))</f>
        <v/>
      </c>
      <c r="C14">
        <f>IF(B14&gt;=Inputs!$B$5,COUNTIF(B$5:B13,"&gt;="&amp;Inputs!$B$5),-1)</f>
        <v/>
      </c>
      <c r="D14" s="5">
        <f>Inputs!$B$8*IF(C14&gt;=0,(1+Inputs!$B$9)^C14,1)</f>
        <v/>
      </c>
      <c r="E14" s="4">
        <f>B14+Inputs!$B$12</f>
        <v/>
      </c>
      <c r="F14" s="5">
        <f>D14*MIN(1,MAX(0,Inputs!$B$11))</f>
        <v/>
      </c>
      <c r="G14" s="4">
        <f>B14+Inputs!$B$13</f>
        <v/>
      </c>
      <c r="H14" s="5">
        <f>D14-F14</f>
        <v/>
      </c>
      <c r="J14" s="4">
        <f>DATE(YEAR(Inputs!$B$5),MONTH(Inputs!$B$5)+A14,15)</f>
        <v/>
      </c>
      <c r="K14" s="5">
        <f>IF(Inputs!$B$15="Semi-monthly",Inputs!$B$14/2,0)</f>
        <v/>
      </c>
      <c r="L14" s="4">
        <f>EOMONTH(DATE(YEAR(Inputs!$B$5),MONTH(Inputs!$B$5)+A14,1),0)</f>
        <v/>
      </c>
      <c r="M14" s="5">
        <f>IF(Inputs!$B$15="Semi-monthly",Inputs!$B$14/2,IF(Inputs!$B$15="Monthly",Inputs!$B$14,0))</f>
        <v/>
      </c>
      <c r="N14" s="4">
        <f>DATE(YEAR(Inputs!$B$5),MONTH(Inputs!$B$5)+A14,MIN(MAX(1,ROUND(Inputs!$B$18,0)),DAY(EOMONTH(DATE(YEAR(Inputs!$B$5),MONTH(Inputs!$B$5)+A14,1),0))))</f>
        <v/>
      </c>
      <c r="O14" s="5">
        <f>Inputs!$B$17</f>
        <v/>
      </c>
      <c r="Q14" t="n">
        <v>9</v>
      </c>
      <c r="R14" s="4">
        <f>Inputs!$B$5+7*(MAX(1,ROUND(Inputs!$B$16,0))-1)+4+14*Q14</f>
        <v/>
      </c>
      <c r="S14" s="5">
        <f>IF(Inputs!$B$15="Biweekly",Inputs!$B$14*12/26,0)</f>
        <v/>
      </c>
      <c r="U14" s="4">
        <f>DATE(YEAR(Inputs!$B$5),MONTH(Inputs!$B$5)+A14,MIN(MAX(1,ROUND(Inputs!$B$20,0)),DAY(EOMONTH(DATE(YEAR(Inputs!$B$5),MONTH(Inputs!$B$5)+A14,1),0))))</f>
        <v/>
      </c>
      <c r="V14" s="5">
        <f>Inputs!$B$19</f>
        <v/>
      </c>
    </row>
    <row r="15">
      <c r="A15" t="n">
        <v>6</v>
      </c>
      <c r="B15" s="4">
        <f>DATE(YEAR(Inputs!$B$5),MONTH(Inputs!$B$5)+A15,MIN(MAX(1,ROUND(Inputs!$B$10,0)),DAY(EOMONTH(DATE(YEAR(Inputs!$B$5),MONTH(Inputs!$B$5)+A15,1),0))))</f>
        <v/>
      </c>
      <c r="C15">
        <f>IF(B15&gt;=Inputs!$B$5,COUNTIF(B$5:B14,"&gt;="&amp;Inputs!$B$5),-1)</f>
        <v/>
      </c>
      <c r="D15" s="5">
        <f>Inputs!$B$8*IF(C15&gt;=0,(1+Inputs!$B$9)^C15,1)</f>
        <v/>
      </c>
      <c r="E15" s="4">
        <f>B15+Inputs!$B$12</f>
        <v/>
      </c>
      <c r="F15" s="5">
        <f>D15*MIN(1,MAX(0,Inputs!$B$11))</f>
        <v/>
      </c>
      <c r="G15" s="4">
        <f>B15+Inputs!$B$13</f>
        <v/>
      </c>
      <c r="H15" s="5">
        <f>D15-F15</f>
        <v/>
      </c>
      <c r="J15" s="4">
        <f>DATE(YEAR(Inputs!$B$5),MONTH(Inputs!$B$5)+A15,15)</f>
        <v/>
      </c>
      <c r="K15" s="5">
        <f>IF(Inputs!$B$15="Semi-monthly",Inputs!$B$14/2,0)</f>
        <v/>
      </c>
      <c r="L15" s="4">
        <f>EOMONTH(DATE(YEAR(Inputs!$B$5),MONTH(Inputs!$B$5)+A15,1),0)</f>
        <v/>
      </c>
      <c r="M15" s="5">
        <f>IF(Inputs!$B$15="Semi-monthly",Inputs!$B$14/2,IF(Inputs!$B$15="Monthly",Inputs!$B$14,0))</f>
        <v/>
      </c>
      <c r="N15" s="4">
        <f>DATE(YEAR(Inputs!$B$5),MONTH(Inputs!$B$5)+A15,MIN(MAX(1,ROUND(Inputs!$B$18,0)),DAY(EOMONTH(DATE(YEAR(Inputs!$B$5),MONTH(Inputs!$B$5)+A15,1),0))))</f>
        <v/>
      </c>
      <c r="O15" s="5">
        <f>Inputs!$B$17</f>
        <v/>
      </c>
      <c r="Q15" t="n">
        <v>10</v>
      </c>
      <c r="R15" s="4">
        <f>Inputs!$B$5+7*(MAX(1,ROUND(Inputs!$B$16,0))-1)+4+14*Q15</f>
        <v/>
      </c>
      <c r="S15" s="5">
        <f>IF(Inputs!$B$15="Biweekly",Inputs!$B$14*12/26,0)</f>
        <v/>
      </c>
      <c r="U15" s="4">
        <f>DATE(YEAR(Inputs!$B$5),MONTH(Inputs!$B$5)+A15,MIN(MAX(1,ROUND(Inputs!$B$20,0)),DAY(EOMONTH(DATE(YEAR(Inputs!$B$5),MONTH(Inputs!$B$5)+A15,1),0))))</f>
        <v/>
      </c>
      <c r="V15" s="5">
        <f>Inputs!$B$19</f>
        <v/>
      </c>
    </row>
    <row r="16">
      <c r="A16" t="n">
        <v>7</v>
      </c>
      <c r="B16" s="4">
        <f>DATE(YEAR(Inputs!$B$5),MONTH(Inputs!$B$5)+A16,MIN(MAX(1,ROUND(Inputs!$B$10,0)),DAY(EOMONTH(DATE(YEAR(Inputs!$B$5),MONTH(Inputs!$B$5)+A16,1),0))))</f>
        <v/>
      </c>
      <c r="C16">
        <f>IF(B16&gt;=Inputs!$B$5,COUNTIF(B$5:B15,"&gt;="&amp;Inputs!$B$5),-1)</f>
        <v/>
      </c>
      <c r="D16" s="5">
        <f>Inputs!$B$8*IF(C16&gt;=0,(1+Inputs!$B$9)^C16,1)</f>
        <v/>
      </c>
      <c r="E16" s="4">
        <f>B16+Inputs!$B$12</f>
        <v/>
      </c>
      <c r="F16" s="5">
        <f>D16*MIN(1,MAX(0,Inputs!$B$11))</f>
        <v/>
      </c>
      <c r="G16" s="4">
        <f>B16+Inputs!$B$13</f>
        <v/>
      </c>
      <c r="H16" s="5">
        <f>D16-F16</f>
        <v/>
      </c>
      <c r="J16" s="4">
        <f>DATE(YEAR(Inputs!$B$5),MONTH(Inputs!$B$5)+A16,15)</f>
        <v/>
      </c>
      <c r="K16" s="5">
        <f>IF(Inputs!$B$15="Semi-monthly",Inputs!$B$14/2,0)</f>
        <v/>
      </c>
      <c r="L16" s="4">
        <f>EOMONTH(DATE(YEAR(Inputs!$B$5),MONTH(Inputs!$B$5)+A16,1),0)</f>
        <v/>
      </c>
      <c r="M16" s="5">
        <f>IF(Inputs!$B$15="Semi-monthly",Inputs!$B$14/2,IF(Inputs!$B$15="Monthly",Inputs!$B$14,0))</f>
        <v/>
      </c>
      <c r="N16" s="4">
        <f>DATE(YEAR(Inputs!$B$5),MONTH(Inputs!$B$5)+A16,MIN(MAX(1,ROUND(Inputs!$B$18,0)),DAY(EOMONTH(DATE(YEAR(Inputs!$B$5),MONTH(Inputs!$B$5)+A16,1),0))))</f>
        <v/>
      </c>
      <c r="O16" s="5">
        <f>Inputs!$B$17</f>
        <v/>
      </c>
      <c r="Q16" t="n">
        <v>11</v>
      </c>
      <c r="R16" s="4">
        <f>Inputs!$B$5+7*(MAX(1,ROUND(Inputs!$B$16,0))-1)+4+14*Q16</f>
        <v/>
      </c>
      <c r="S16" s="5">
        <f>IF(Inputs!$B$15="Biweekly",Inputs!$B$14*12/26,0)</f>
        <v/>
      </c>
      <c r="U16" s="4">
        <f>DATE(YEAR(Inputs!$B$5),MONTH(Inputs!$B$5)+A16,MIN(MAX(1,ROUND(Inputs!$B$20,0)),DAY(EOMONTH(DATE(YEAR(Inputs!$B$5),MONTH(Inputs!$B$5)+A16,1),0))))</f>
        <v/>
      </c>
      <c r="V16" s="5">
        <f>Inputs!$B$19</f>
        <v/>
      </c>
    </row>
    <row r="17">
      <c r="A17" t="n">
        <v>8</v>
      </c>
      <c r="B17" s="4">
        <f>DATE(YEAR(Inputs!$B$5),MONTH(Inputs!$B$5)+A17,MIN(MAX(1,ROUND(Inputs!$B$10,0)),DAY(EOMONTH(DATE(YEAR(Inputs!$B$5),MONTH(Inputs!$B$5)+A17,1),0))))</f>
        <v/>
      </c>
      <c r="C17">
        <f>IF(B17&gt;=Inputs!$B$5,COUNTIF(B$5:B16,"&gt;="&amp;Inputs!$B$5),-1)</f>
        <v/>
      </c>
      <c r="D17" s="5">
        <f>Inputs!$B$8*IF(C17&gt;=0,(1+Inputs!$B$9)^C17,1)</f>
        <v/>
      </c>
      <c r="E17" s="4">
        <f>B17+Inputs!$B$12</f>
        <v/>
      </c>
      <c r="F17" s="5">
        <f>D17*MIN(1,MAX(0,Inputs!$B$11))</f>
        <v/>
      </c>
      <c r="G17" s="4">
        <f>B17+Inputs!$B$13</f>
        <v/>
      </c>
      <c r="H17" s="5">
        <f>D17-F17</f>
        <v/>
      </c>
      <c r="J17" s="4">
        <f>DATE(YEAR(Inputs!$B$5),MONTH(Inputs!$B$5)+A17,15)</f>
        <v/>
      </c>
      <c r="K17" s="5">
        <f>IF(Inputs!$B$15="Semi-monthly",Inputs!$B$14/2,0)</f>
        <v/>
      </c>
      <c r="L17" s="4">
        <f>EOMONTH(DATE(YEAR(Inputs!$B$5),MONTH(Inputs!$B$5)+A17,1),0)</f>
        <v/>
      </c>
      <c r="M17" s="5">
        <f>IF(Inputs!$B$15="Semi-monthly",Inputs!$B$14/2,IF(Inputs!$B$15="Monthly",Inputs!$B$14,0))</f>
        <v/>
      </c>
      <c r="N17" s="4">
        <f>DATE(YEAR(Inputs!$B$5),MONTH(Inputs!$B$5)+A17,MIN(MAX(1,ROUND(Inputs!$B$18,0)),DAY(EOMONTH(DATE(YEAR(Inputs!$B$5),MONTH(Inputs!$B$5)+A17,1),0))))</f>
        <v/>
      </c>
      <c r="O17" s="5">
        <f>Inputs!$B$17</f>
        <v/>
      </c>
      <c r="Q17" t="n">
        <v>12</v>
      </c>
      <c r="R17" s="4">
        <f>Inputs!$B$5+7*(MAX(1,ROUND(Inputs!$B$16,0))-1)+4+14*Q17</f>
        <v/>
      </c>
      <c r="S17" s="5">
        <f>IF(Inputs!$B$15="Biweekly",Inputs!$B$14*12/26,0)</f>
        <v/>
      </c>
      <c r="U17" s="4">
        <f>DATE(YEAR(Inputs!$B$5),MONTH(Inputs!$B$5)+A17,MIN(MAX(1,ROUND(Inputs!$B$20,0)),DAY(EOMONTH(DATE(YEAR(Inputs!$B$5),MONTH(Inputs!$B$5)+A17,1),0))))</f>
        <v/>
      </c>
      <c r="V17" s="5">
        <f>Inputs!$B$19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Free template by Adlega</t>
        </is>
      </c>
    </row>
    <row r="2">
      <c r="A2" s="20" t="inlineStr">
        <is>
          <t>Live 13-week cash flow forecast: https://adlega.com/blog/tools/13-week-cash-flow/</t>
        </is>
      </c>
    </row>
    <row r="3">
      <c r="A3" s="20" t="inlineStr">
        <is>
          <t>Version: October 2026</t>
        </is>
      </c>
    </row>
    <row r="4">
      <c r="A4" s="20" t="inlineStr"/>
    </row>
    <row r="5">
      <c r="A5" s="20" t="inlineStr">
        <is>
          <t>This template is a planning aid, not advice. It is not tax, legal, accounting or investment advice; check the numbers with your own advisers before you act on them.</t>
        </is>
      </c>
    </row>
    <row r="6">
      <c r="A6" s="20" t="inlineStr">
        <is>
          <t>Blue cells on a light yellow background are inputs (Inputs and Rolling sheets). Every other number is a live formula that mirrors the web calculator.</t>
        </is>
      </c>
    </row>
    <row r="7">
      <c r="A7" s="20" t="inlineStr"/>
    </row>
    <row r="8">
      <c r="A8" s="20" t="inlineStr">
        <is>
          <t>Weeks run Monday to Sunday from the start date. Every payment has a date and lands in the week that contains it.</t>
        </is>
      </c>
    </row>
    <row r="9">
      <c r="A9" s="20" t="inlineStr">
        <is>
          <t>Subscriptions: billed on the billing day each month. The card share arrives after the payout delay, the rest after the invoice terms. Bills before week 1 count if collected inside the window.</t>
        </is>
      </c>
    </row>
    <row r="10">
      <c r="A10" s="20" t="inlineStr">
        <is>
          <t>Billing growth applies from the first bill on or after week 1: bill k = billed per month x (1 + growth)^k.</t>
        </is>
      </c>
    </row>
    <row r="11">
      <c r="A11" s="20" t="inlineStr">
        <is>
          <t>Payroll: the monthly cost including employer taxes and benefits, split into runs. Biweekly = monthly x 12 / 26 every other Friday; semi-monthly = half on the 15th and half on the last day; monthly = all on the last day.</t>
        </is>
      </c>
    </row>
    <row r="12">
      <c r="A12" s="20" t="inlineStr">
        <is>
          <t>Payroll taxes are paid in the same week as the pay run (simplification). A weekend payday moves to the Friday before, which is always the same week.</t>
        </is>
      </c>
    </row>
    <row r="13">
      <c r="A13" s="20" t="inlineStr">
        <is>
          <t>Payment processing and variable costs = the percentage x customer collections (card + invoice + annual) in the same week.</t>
        </is>
      </c>
    </row>
    <row r="14">
      <c r="A14" s="20" t="inlineStr">
        <is>
          <t>Rolling: closed weeks use actual totals, the cash balance carries forward from them, and the forecast lines run unchanged for the 13 weeks after the last close.</t>
        </is>
      </c>
    </row>
    <row r="15">
      <c r="A15" s="20" t="inlineStr"/>
    </row>
    <row r="16">
      <c r="A16" s="20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13-Week Cash Flow Forecast Template for SaaS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2026-10-22T18:11:19Z</dcterms:modified>
  <cp:lastModifiedBy>Adlega</cp:lastModifiedBy>
</cp:coreProperties>
</file>