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0" fontId="3" fillId="4" borderId="0" applyAlignment="1" pivotButton="0" quotePrefix="0" xfId="0">
      <alignment vertical="bottom" wrapText="1"/>
    </xf>
    <xf numFmtId="0" fontId="4" fillId="3" borderId="0" pivotButton="0" quotePrefix="0" xfId="0"/>
    <xf numFmtId="3" fontId="4" fillId="3" borderId="0" pivotButton="0" quotePrefix="0" xfId="0"/>
    <xf numFmtId="165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3" fontId="0" fillId="0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4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Cap Table Calculator (one priced round)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Round inputs</t>
        </is>
      </c>
      <c r="B4" s="4" t="n"/>
      <c r="C4" s="4" t="n"/>
    </row>
    <row r="5">
      <c r="A5" t="inlineStr">
        <is>
          <t>Amount raised</t>
        </is>
      </c>
      <c r="B5" s="5" t="n">
        <v>2000000</v>
      </c>
    </row>
    <row r="6">
      <c r="A6" t="inlineStr">
        <is>
          <t>Pre-money valuation</t>
        </is>
      </c>
      <c r="B6" s="5" t="n">
        <v>8000000</v>
      </c>
    </row>
    <row r="7">
      <c r="A7" t="inlineStr">
        <is>
          <t>New option pool (post-money %)</t>
        </is>
      </c>
      <c r="B7" s="6" t="n">
        <v>0.1</v>
      </c>
      <c r="C7" s="2" t="inlineStr">
        <is>
          <t>Capped so investor + pool stay at or below 95%.</t>
        </is>
      </c>
    </row>
    <row r="9">
      <c r="A9" s="3" t="inlineStr">
        <is>
          <t>Shareholders before the round (up to 10)</t>
        </is>
      </c>
      <c r="B9" s="4" t="n"/>
      <c r="C9" s="4" t="n"/>
    </row>
    <row r="10">
      <c r="A10" s="7" t="inlineStr">
        <is>
          <t>Holder</t>
        </is>
      </c>
      <c r="B10" s="7" t="inlineStr">
        <is>
          <t>Shares</t>
        </is>
      </c>
      <c r="C10" s="7" t="inlineStr">
        <is>
          <t>Ownership before</t>
        </is>
      </c>
      <c r="D10" s="7" t="inlineStr">
        <is>
          <t>Ownership after</t>
        </is>
      </c>
      <c r="E10" s="7" t="inlineStr">
        <is>
          <t>Value at post-money</t>
        </is>
      </c>
      <c r="F10" s="7" t="inlineStr">
        <is>
          <t>Shares after (fully diluted)</t>
        </is>
      </c>
    </row>
    <row r="11">
      <c r="A11" s="8" t="inlineStr">
        <is>
          <t>Founder A</t>
        </is>
      </c>
      <c r="B11" s="9" t="n">
        <v>6000000</v>
      </c>
      <c r="C11" s="10">
        <f>IF(B11="","",B11/$B$24)</f>
        <v/>
      </c>
      <c r="D11" s="10">
        <f>IF(B11="","",C11*$B$28)</f>
        <v/>
      </c>
      <c r="E11" s="11">
        <f>IF(B11="","",D11*$B$25)</f>
        <v/>
      </c>
      <c r="F11" s="12">
        <f>IF(OR(B11="",NOT(ISNUMBER($B$34))),"",B11)</f>
        <v/>
      </c>
    </row>
    <row r="12">
      <c r="A12" s="8" t="inlineStr">
        <is>
          <t>Founder B</t>
        </is>
      </c>
      <c r="B12" s="9" t="n">
        <v>4000000</v>
      </c>
      <c r="C12" s="10">
        <f>IF(B12="","",B12/$B$24)</f>
        <v/>
      </c>
      <c r="D12" s="10">
        <f>IF(B12="","",C12*$B$28)</f>
        <v/>
      </c>
      <c r="E12" s="11">
        <f>IF(B12="","",D12*$B$25)</f>
        <v/>
      </c>
      <c r="F12" s="12">
        <f>IF(OR(B12="",NOT(ISNUMBER($B$34))),"",B12)</f>
        <v/>
      </c>
    </row>
    <row r="13">
      <c r="A13" s="8" t="n"/>
      <c r="B13" s="9" t="n"/>
      <c r="C13" s="10">
        <f>IF(B13="","",B13/$B$24)</f>
        <v/>
      </c>
      <c r="D13" s="10">
        <f>IF(B13="","",C13*$B$28)</f>
        <v/>
      </c>
      <c r="E13" s="11">
        <f>IF(B13="","",D13*$B$25)</f>
        <v/>
      </c>
      <c r="F13" s="12">
        <f>IF(OR(B13="",NOT(ISNUMBER($B$34))),"",B13)</f>
        <v/>
      </c>
    </row>
    <row r="14">
      <c r="A14" s="8" t="n"/>
      <c r="B14" s="9" t="n"/>
      <c r="C14" s="10">
        <f>IF(B14="","",B14/$B$24)</f>
        <v/>
      </c>
      <c r="D14" s="10">
        <f>IF(B14="","",C14*$B$28)</f>
        <v/>
      </c>
      <c r="E14" s="11">
        <f>IF(B14="","",D14*$B$25)</f>
        <v/>
      </c>
      <c r="F14" s="12">
        <f>IF(OR(B14="",NOT(ISNUMBER($B$34))),"",B14)</f>
        <v/>
      </c>
    </row>
    <row r="15">
      <c r="A15" s="8" t="n"/>
      <c r="B15" s="9" t="n"/>
      <c r="C15" s="10">
        <f>IF(B15="","",B15/$B$24)</f>
        <v/>
      </c>
      <c r="D15" s="10">
        <f>IF(B15="","",C15*$B$28)</f>
        <v/>
      </c>
      <c r="E15" s="11">
        <f>IF(B15="","",D15*$B$25)</f>
        <v/>
      </c>
      <c r="F15" s="12">
        <f>IF(OR(B15="",NOT(ISNUMBER($B$34))),"",B15)</f>
        <v/>
      </c>
    </row>
    <row r="16">
      <c r="A16" s="8" t="n"/>
      <c r="B16" s="9" t="n"/>
      <c r="C16" s="10">
        <f>IF(B16="","",B16/$B$24)</f>
        <v/>
      </c>
      <c r="D16" s="10">
        <f>IF(B16="","",C16*$B$28)</f>
        <v/>
      </c>
      <c r="E16" s="11">
        <f>IF(B16="","",D16*$B$25)</f>
        <v/>
      </c>
      <c r="F16" s="12">
        <f>IF(OR(B16="",NOT(ISNUMBER($B$34))),"",B16)</f>
        <v/>
      </c>
    </row>
    <row r="17">
      <c r="A17" s="8" t="n"/>
      <c r="B17" s="9" t="n"/>
      <c r="C17" s="10">
        <f>IF(B17="","",B17/$B$24)</f>
        <v/>
      </c>
      <c r="D17" s="10">
        <f>IF(B17="","",C17*$B$28)</f>
        <v/>
      </c>
      <c r="E17" s="11">
        <f>IF(B17="","",D17*$B$25)</f>
        <v/>
      </c>
      <c r="F17" s="12">
        <f>IF(OR(B17="",NOT(ISNUMBER($B$34))),"",B17)</f>
        <v/>
      </c>
    </row>
    <row r="18">
      <c r="A18" s="8" t="n"/>
      <c r="B18" s="9" t="n"/>
      <c r="C18" s="10">
        <f>IF(B18="","",B18/$B$24)</f>
        <v/>
      </c>
      <c r="D18" s="10">
        <f>IF(B18="","",C18*$B$28)</f>
        <v/>
      </c>
      <c r="E18" s="11">
        <f>IF(B18="","",D18*$B$25)</f>
        <v/>
      </c>
      <c r="F18" s="12">
        <f>IF(OR(B18="",NOT(ISNUMBER($B$34))),"",B18)</f>
        <v/>
      </c>
    </row>
    <row r="19">
      <c r="A19" s="8" t="n"/>
      <c r="B19" s="9" t="n"/>
      <c r="C19" s="10">
        <f>IF(B19="","",B19/$B$24)</f>
        <v/>
      </c>
      <c r="D19" s="10">
        <f>IF(B19="","",C19*$B$28)</f>
        <v/>
      </c>
      <c r="E19" s="11">
        <f>IF(B19="","",D19*$B$25)</f>
        <v/>
      </c>
      <c r="F19" s="12">
        <f>IF(OR(B19="",NOT(ISNUMBER($B$34))),"",B19)</f>
        <v/>
      </c>
    </row>
    <row r="20">
      <c r="A20" s="8" t="n"/>
      <c r="B20" s="9" t="n"/>
      <c r="C20" s="10">
        <f>IF(B20="","",B20/$B$24)</f>
        <v/>
      </c>
      <c r="D20" s="10">
        <f>IF(B20="","",C20*$B$28)</f>
        <v/>
      </c>
      <c r="E20" s="11">
        <f>IF(B20="","",D20*$B$25)</f>
        <v/>
      </c>
      <c r="F20" s="12">
        <f>IF(OR(B20="",NOT(ISNUMBER($B$34))),"",B20)</f>
        <v/>
      </c>
    </row>
    <row r="21">
      <c r="A21" t="inlineStr">
        <is>
          <t>Option pool (new)</t>
        </is>
      </c>
      <c r="D21" s="10">
        <f>$B$27</f>
        <v/>
      </c>
      <c r="E21" s="11">
        <f>$B$27*$B$25</f>
        <v/>
      </c>
      <c r="F21" s="12">
        <f>$B$36</f>
        <v/>
      </c>
    </row>
    <row r="22">
      <c r="A22" t="inlineStr">
        <is>
          <t>New investor</t>
        </is>
      </c>
      <c r="D22" s="10">
        <f>$B$26</f>
        <v/>
      </c>
      <c r="E22" s="11">
        <f>$B$26*$B$25</f>
        <v/>
      </c>
      <c r="F22" s="12">
        <f>$B$35</f>
        <v/>
      </c>
    </row>
    <row r="23">
      <c r="A23" s="3" t="inlineStr">
        <is>
          <t>Results</t>
        </is>
      </c>
      <c r="B23" s="4" t="n"/>
      <c r="C23" s="4" t="n"/>
    </row>
    <row r="24">
      <c r="A24" t="inlineStr">
        <is>
          <t>Existing shares</t>
        </is>
      </c>
      <c r="B24" s="13">
        <f>IF(SUM($B$11:$B$20)=0,1,SUM($B$11:$B$20))</f>
        <v/>
      </c>
    </row>
    <row r="25">
      <c r="A25" s="14" t="inlineStr">
        <is>
          <t>Post-money valuation</t>
        </is>
      </c>
      <c r="B25" s="15">
        <f>$B$6+$B$5</f>
        <v/>
      </c>
    </row>
    <row r="26">
      <c r="A26" t="inlineStr">
        <is>
          <t>New investor ownership</t>
        </is>
      </c>
      <c r="B26" s="16">
        <f>IF($B$25&gt;0,$B$5/$B$25,0)</f>
        <v/>
      </c>
    </row>
    <row r="27">
      <c r="A27" t="inlineStr">
        <is>
          <t>Option pool used</t>
        </is>
      </c>
      <c r="B27" s="16">
        <f>IF($B$26+MIN(0.5,MAX(0,$B$7))&gt;0.95,MAX(0,0.95-$B$26),MIN(0.5,MAX(0,$B$7)))</f>
        <v/>
      </c>
    </row>
    <row r="28">
      <c r="A28" t="inlineStr">
        <is>
          <t>Existing holders keep</t>
        </is>
      </c>
      <c r="B28" s="16">
        <f>MAX(0,1-$B$26-$B$27)</f>
        <v/>
      </c>
    </row>
    <row r="29">
      <c r="A29" t="inlineStr">
        <is>
          <t>Dilution to existing holders</t>
        </is>
      </c>
      <c r="B29" s="16">
        <f>1-$B$28</f>
        <v/>
      </c>
    </row>
    <row r="30">
      <c r="A30" t="inlineStr">
        <is>
          <t>Price per share (post-money x holders keep / existing shares; the pool sits in the pre-money)</t>
        </is>
      </c>
      <c r="B30" s="17">
        <f>IF(AND($B$24&gt;0,$B$28&gt;0),$B$25*$B$28/$B$24,0)</f>
        <v/>
      </c>
    </row>
    <row r="31">
      <c r="A31" t="inlineStr">
        <is>
          <t>Pool check</t>
        </is>
      </c>
      <c r="B31" s="18">
        <f>IF($B$25&gt;0,IF($B$5/$B$25+MIN(0.5,MAX(0,$B$7))&gt;0.95,"Pool trimmed: investor + pool would exceed 95% of the company.","OK"),"OK")</f>
        <v/>
      </c>
    </row>
    <row r="33">
      <c r="A33" s="3" t="inlineStr">
        <is>
          <t>Share counts after the round (same math, in shares)</t>
        </is>
      </c>
      <c r="B33" s="4" t="n"/>
      <c r="C33" s="4" t="n"/>
    </row>
    <row r="34">
      <c r="A34" t="inlineStr">
        <is>
          <t>Fully diluted shares after the round</t>
        </is>
      </c>
      <c r="B34" s="13">
        <f>IF($B$28&gt;0,SUM($B$11:$B$20)/$B$28,"n/a")</f>
        <v/>
      </c>
    </row>
    <row r="35">
      <c r="A35" t="inlineStr">
        <is>
          <t>New investor shares</t>
        </is>
      </c>
      <c r="B35" s="13">
        <f>IF(ISNUMBER($B$34),$B$26*$B$34,"n/a")</f>
        <v/>
      </c>
    </row>
    <row r="36">
      <c r="A36" t="inlineStr">
        <is>
          <t>New option pool shares</t>
        </is>
      </c>
      <c r="B36" s="13">
        <f>IF(ISNUMBER($B$34),$B$27*$B$34,"n/a")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Cap Table Calculator (one priced round)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