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lan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yy"/>
    <numFmt numFmtId="166" formatCode="&quot;$&quot;#,##0;-&quot;$&quot;#,##0"/>
    <numFmt numFmtId="167" formatCode="0.0%"/>
    <numFmt numFmtId="168" formatCode="0.0"/>
    <numFmt numFmtId="169" formatCode="0.000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5" fontId="4" fillId="3" borderId="0" pivotButton="0" quotePrefix="0" xfId="0"/>
    <xf numFmtId="166" fontId="4" fillId="3" borderId="0" pivotButton="0" quotePrefix="0" xfId="0"/>
    <xf numFmtId="167" fontId="4" fillId="3" borderId="0" pivotButton="0" quotePrefix="0" xfId="0"/>
    <xf numFmtId="1" fontId="4" fillId="3" borderId="0" pivotButton="0" quotePrefix="0" xfId="0"/>
    <xf numFmtId="0" fontId="4" fillId="3" borderId="0" pivotButton="0" quotePrefix="0" xfId="0"/>
    <xf numFmtId="0" fontId="3" fillId="4" borderId="0" applyAlignment="1" pivotButton="0" quotePrefix="0" xfId="0">
      <alignment vertical="bottom" wrapText="1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8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" fontId="3" fillId="0" borderId="0" applyAlignment="1" pivotButton="0" quotePrefix="0" xfId="0">
      <alignment horizontal="right"/>
    </xf>
    <xf numFmtId="166" fontId="0" fillId="0" borderId="0" pivotButton="0" quotePrefix="0" xfId="0"/>
    <xf numFmtId="0" fontId="3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9" fontId="0" fillId="0" borderId="0" pivotButton="0" quotePrefix="0" xfId="0"/>
    <xf numFmtId="165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4" customWidth="1" min="4" max="4"/>
    <col width="4" customWidth="1" min="5" max="5"/>
    <col width="40" customWidth="1" min="6" max="6"/>
    <col width="18" customWidth="1" min="7" max="7"/>
    <col width="12" customWidth="1" min="8" max="8"/>
    <col width="4" customWidth="1" min="9" max="9"/>
  </cols>
  <sheetData>
    <row r="1">
      <c r="A1" s="1" t="inlineStr">
        <is>
          <t>How Much Should I Raise? (fundraising calculator)</t>
        </is>
      </c>
    </row>
    <row r="2">
      <c r="A2" s="2" t="inlineStr">
        <is>
          <t>Change the blue cells on light yellow. Every other number is a live formula. Example inputs are illustrative. Live version: https://adlega.com/blog/tools/how-much-to-raise/</t>
        </is>
      </c>
    </row>
    <row r="4">
      <c r="A4" s="3" t="inlineStr">
        <is>
          <t>Where you are today</t>
        </is>
      </c>
      <c r="B4" s="4" t="n"/>
      <c r="C4" s="4" t="n"/>
      <c r="D4" s="4" t="n"/>
    </row>
    <row r="5">
      <c r="A5" t="inlineStr">
        <is>
          <t>Month the money lands (plan month 1)</t>
        </is>
      </c>
      <c r="B5" s="5" t="n">
        <v>46478</v>
      </c>
    </row>
    <row r="6">
      <c r="A6" t="inlineStr">
        <is>
          <t>Cash on hand at close (before the raise)</t>
        </is>
      </c>
      <c r="B6" s="6" t="n">
        <v>400000</v>
      </c>
    </row>
    <row r="7">
      <c r="A7" t="inlineStr">
        <is>
          <t>Monthly net burn today</t>
        </is>
      </c>
      <c r="B7" s="6" t="n">
        <v>80000</v>
      </c>
    </row>
    <row r="8">
      <c r="A8" t="inlineStr">
        <is>
          <t>MRR today</t>
        </is>
      </c>
      <c r="B8" s="6" t="n">
        <v>30000</v>
      </c>
    </row>
    <row r="9">
      <c r="A9" t="inlineStr">
        <is>
          <t>MRR growth per month</t>
        </is>
      </c>
      <c r="B9" s="7" t="n">
        <v>0.05</v>
      </c>
    </row>
    <row r="10">
      <c r="A10" t="inlineStr">
        <is>
          <t>Cost of revenue (% of revenue)</t>
        </is>
      </c>
      <c r="B10" s="7" t="n">
        <v>0.2</v>
      </c>
    </row>
    <row r="11">
      <c r="A11" t="inlineStr">
        <is>
          <t>People on payroll today</t>
        </is>
      </c>
      <c r="B11" s="8" t="n">
        <v>8</v>
      </c>
    </row>
    <row r="12">
      <c r="A12" t="inlineStr">
        <is>
          <t>Runway target (months, 1 to 36)</t>
        </is>
      </c>
      <c r="B12" s="8" t="n">
        <v>18</v>
      </c>
    </row>
    <row r="13">
      <c r="A13" t="inlineStr">
        <is>
          <t>Buffer on top of the cash need</t>
        </is>
      </c>
      <c r="B13" s="7" t="n">
        <v>0.2</v>
      </c>
    </row>
    <row r="14">
      <c r="A14" t="inlineStr">
        <is>
          <t>Valuation input</t>
        </is>
      </c>
      <c r="B14" s="9" t="inlineStr">
        <is>
          <t>Pre-money</t>
        </is>
      </c>
    </row>
    <row r="15">
      <c r="A15" t="inlineStr">
        <is>
          <t>Pre-money valuation (if Pre-money)</t>
        </is>
      </c>
      <c r="B15" s="6" t="n">
        <v>12000000</v>
      </c>
    </row>
    <row r="16">
      <c r="A16" t="inlineStr">
        <is>
          <t>Stake you sell (if Target dilution)</t>
        </is>
      </c>
      <c r="B16" s="7" t="n">
        <v>0.2</v>
      </c>
    </row>
    <row r="18">
      <c r="A18" s="3" t="inlineStr">
        <is>
          <t>Planned hires (fully-loaded monthly cost per person; start = plan month)</t>
        </is>
      </c>
      <c r="B18" s="4" t="n"/>
      <c r="C18" s="4" t="n"/>
      <c r="D18" s="4" t="n"/>
    </row>
    <row r="19">
      <c r="A19" s="10" t="inlineStr">
        <is>
          <t>Role</t>
        </is>
      </c>
      <c r="B19" s="10" t="inlineStr">
        <is>
          <t>Count</t>
        </is>
      </c>
      <c r="C19" s="10" t="inlineStr">
        <is>
          <t>Cost / month</t>
        </is>
      </c>
      <c r="D19" s="10" t="inlineStr">
        <is>
          <t>Start month</t>
        </is>
      </c>
    </row>
    <row r="20">
      <c r="A20" s="9" t="inlineStr">
        <is>
          <t>Engineers</t>
        </is>
      </c>
      <c r="B20" s="8" t="n">
        <v>3</v>
      </c>
      <c r="C20" s="6" t="n">
        <v>15000</v>
      </c>
      <c r="D20" s="8" t="n">
        <v>2</v>
      </c>
    </row>
    <row r="21">
      <c r="A21" s="9" t="inlineStr">
        <is>
          <t>Account executive</t>
        </is>
      </c>
      <c r="B21" s="8" t="n">
        <v>1</v>
      </c>
      <c r="C21" s="6" t="n">
        <v>14000</v>
      </c>
      <c r="D21" s="8" t="n">
        <v>3</v>
      </c>
    </row>
    <row r="22">
      <c r="A22" s="9" t="inlineStr">
        <is>
          <t>Product marketer</t>
        </is>
      </c>
      <c r="B22" s="8" t="n">
        <v>1</v>
      </c>
      <c r="C22" s="6" t="n">
        <v>12000</v>
      </c>
      <c r="D22" s="8" t="n">
        <v>6</v>
      </c>
    </row>
    <row r="23">
      <c r="A23" s="9" t="inlineStr">
        <is>
          <t>Customer success</t>
        </is>
      </c>
      <c r="B23" s="8" t="n">
        <v>1</v>
      </c>
      <c r="C23" s="6" t="n">
        <v>9000</v>
      </c>
      <c r="D23" s="8" t="n">
        <v>9</v>
      </c>
    </row>
    <row r="24">
      <c r="A24" s="9" t="n"/>
      <c r="B24" s="8" t="n"/>
      <c r="C24" s="6" t="n"/>
      <c r="D24" s="8" t="n"/>
    </row>
    <row r="25">
      <c r="A25" s="9" t="n"/>
      <c r="B25" s="8" t="n"/>
      <c r="C25" s="6" t="n"/>
      <c r="D25" s="8" t="n"/>
    </row>
    <row r="26">
      <c r="A26" s="9" t="n"/>
      <c r="B26" s="8" t="n"/>
      <c r="C26" s="6" t="n"/>
      <c r="D26" s="8" t="n"/>
    </row>
    <row r="27">
      <c r="A27" s="9" t="n"/>
      <c r="B27" s="8" t="n"/>
      <c r="C27" s="6" t="n"/>
      <c r="D27" s="8" t="n"/>
    </row>
    <row r="28">
      <c r="A28" s="9" t="n"/>
      <c r="B28" s="8" t="n"/>
      <c r="C28" s="6" t="n"/>
      <c r="D28" s="8" t="n"/>
    </row>
    <row r="29">
      <c r="A29" s="9" t="n"/>
      <c r="B29" s="8" t="n"/>
      <c r="C29" s="6" t="n"/>
      <c r="D29" s="8" t="n"/>
    </row>
    <row r="30">
      <c r="A30" s="9" t="n"/>
      <c r="B30" s="8" t="n"/>
      <c r="C30" s="6" t="n"/>
      <c r="D30" s="8" t="n"/>
    </row>
    <row r="31">
      <c r="A31" s="9" t="n"/>
      <c r="B31" s="8" t="n"/>
      <c r="C31" s="6" t="n"/>
      <c r="D31" s="8" t="n"/>
    </row>
    <row r="33">
      <c r="A33" s="3" t="inlineStr">
        <is>
          <t>Other spend changes (monthly; negative = a cut)</t>
        </is>
      </c>
      <c r="B33" s="4" t="n"/>
      <c r="C33" s="4" t="n"/>
      <c r="D33" s="4" t="n"/>
    </row>
    <row r="34">
      <c r="A34" s="10" t="inlineStr">
        <is>
          <t>Cost change</t>
        </is>
      </c>
      <c r="B34" s="10" t="inlineStr">
        <is>
          <t>Per month</t>
        </is>
      </c>
      <c r="C34" s="10" t="inlineStr">
        <is>
          <t>Start month</t>
        </is>
      </c>
    </row>
    <row r="35">
      <c r="A35" s="9" t="inlineStr">
        <is>
          <t>Paid acquisition and events</t>
        </is>
      </c>
      <c r="B35" s="6" t="n">
        <v>10000</v>
      </c>
      <c r="C35" s="8" t="n">
        <v>3</v>
      </c>
    </row>
    <row r="36">
      <c r="A36" s="9" t="inlineStr">
        <is>
          <t>Tools and infrastructure</t>
        </is>
      </c>
      <c r="B36" s="6" t="n">
        <v>3000</v>
      </c>
      <c r="C36" s="8" t="n">
        <v>1</v>
      </c>
    </row>
    <row r="37">
      <c r="A37" s="9" t="n"/>
      <c r="B37" s="6" t="n"/>
      <c r="C37" s="8" t="n"/>
    </row>
    <row r="38">
      <c r="A38" s="9" t="n"/>
      <c r="B38" s="6" t="n"/>
      <c r="C38" s="8" t="n"/>
    </row>
    <row r="39">
      <c r="A39" s="9" t="n"/>
      <c r="B39" s="6" t="n"/>
      <c r="C39" s="8" t="n"/>
    </row>
    <row r="40">
      <c r="A40" s="9" t="n"/>
      <c r="B40" s="6" t="n"/>
      <c r="C40" s="8" t="n"/>
    </row>
    <row r="41">
      <c r="A41" s="9" t="n"/>
      <c r="B41" s="6" t="n"/>
      <c r="C41" s="8" t="n"/>
    </row>
    <row r="42">
      <c r="A42" s="9" t="n"/>
      <c r="B42" s="6" t="n"/>
      <c r="C42" s="8" t="n"/>
    </row>
  </sheetData>
  <dataValidations count="3">
    <dataValidation sqref="B12" showDropDown="0" showInputMessage="0" showErrorMessage="0" allowBlank="0" type="whole" operator="between">
      <formula1>1</formula1>
      <formula2>36</formula2>
    </dataValidation>
    <dataValidation sqref="B14" showDropDown="0" showInputMessage="0" showErrorMessage="0" allowBlank="0" type="list">
      <formula1>"Pre-money,Target dilution"</formula1>
    </dataValidation>
    <dataValidation sqref="C35:C42 D20:D31" showDropDown="0" showInputMessage="0" showErrorMessage="0" allowBlank="1" type="whole" operator="between">
      <formula1>1</formula1>
      <formula2>36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4" customWidth="1" min="3" max="3"/>
    <col width="34" customWidth="1" min="4" max="4"/>
    <col width="16" customWidth="1" min="5" max="5"/>
    <col width="10" customWidth="1" min="6" max="6"/>
    <col width="40" customWidth="1" min="8" max="8"/>
    <col width="16" customWidth="1" min="9" max="9"/>
  </cols>
  <sheetData>
    <row r="1">
      <c r="A1" s="1" t="inlineStr">
        <is>
          <t>The raise, dilution and the financial slide</t>
        </is>
      </c>
    </row>
    <row r="3">
      <c r="A3" s="3" t="inlineStr">
        <is>
          <t>Sizing the raise</t>
        </is>
      </c>
      <c r="B3" s="4" t="n"/>
    </row>
    <row r="4">
      <c r="A4" t="inlineStr">
        <is>
          <t>Cash trough (deepest cumulative burn in the plan)</t>
        </is>
      </c>
      <c r="B4" s="11">
        <f>MAX(0,MAX(Plan!$N$6:$N$41))</f>
        <v/>
      </c>
    </row>
    <row r="5">
      <c r="A5" t="inlineStr">
        <is>
          <t>Buffer</t>
        </is>
      </c>
      <c r="B5" s="11">
        <f>B4*Inputs!B13</f>
        <v/>
      </c>
    </row>
    <row r="6">
      <c r="A6" t="inlineStr">
        <is>
          <t>Cash needed incl. buffer</t>
        </is>
      </c>
      <c r="B6" s="11">
        <f>B4+B5</f>
        <v/>
      </c>
    </row>
    <row r="7">
      <c r="A7" t="inlineStr">
        <is>
          <t>Cash on hand</t>
        </is>
      </c>
      <c r="B7" s="11">
        <f>Inputs!B6</f>
        <v/>
      </c>
    </row>
    <row r="8">
      <c r="A8" t="inlineStr">
        <is>
          <t>Gap (cash needed minus cash on hand)</t>
        </is>
      </c>
      <c r="B8" s="11">
        <f>B6-B7</f>
        <v/>
      </c>
    </row>
    <row r="9">
      <c r="A9" t="inlineStr">
        <is>
          <t>Raise (gap rounded up to $50,000)</t>
        </is>
      </c>
      <c r="B9" s="11">
        <f>IF(B8&gt;0,CEILING(B8,50000),0)</f>
        <v/>
      </c>
    </row>
    <row r="11">
      <c r="A11" t="inlineStr">
        <is>
          <t>Cash right after the raise</t>
        </is>
      </c>
      <c r="B11" s="11">
        <f>B7+B9</f>
        <v/>
      </c>
    </row>
    <row r="12">
      <c r="A12" t="inlineStr">
        <is>
          <t>Post-money valuation</t>
        </is>
      </c>
      <c r="B12" s="11">
        <f>IF(B9=0,"",IF(Inputs!B14="Target dilution",IF(Inputs!B16&gt;0,B9/Inputs!B16,""),Inputs!B15+B9))</f>
        <v/>
      </c>
    </row>
    <row r="13">
      <c r="A13" t="inlineStr">
        <is>
          <t>Pre-money valuation</t>
        </is>
      </c>
      <c r="B13" s="11">
        <f>IF(B12="","",B12-B9)</f>
        <v/>
      </c>
    </row>
    <row r="14">
      <c r="A14" t="inlineStr">
        <is>
          <t>Dilution</t>
        </is>
      </c>
      <c r="B14" s="12">
        <f>IF(OR(B9=0,B12=""),0,B9/B12)</f>
        <v/>
      </c>
    </row>
    <row r="15">
      <c r="A15" t="inlineStr">
        <is>
          <t>Cash left at the target month</t>
        </is>
      </c>
      <c r="B15" s="11">
        <f>INDEX(Plan!$L$6:$L$41,Inputs!$B$12)</f>
        <v/>
      </c>
    </row>
    <row r="16">
      <c r="A16" t="inlineStr">
        <is>
          <t>Net burn in the target month</t>
        </is>
      </c>
      <c r="B16" s="11">
        <f>INDEX(Plan!$J$6:$J$41,Inputs!$B$12)</f>
        <v/>
      </c>
    </row>
    <row r="17">
      <c r="A17" t="inlineStr">
        <is>
          <t>Runway it buys (months)</t>
        </is>
      </c>
      <c r="B17" s="13">
        <f>IF(B16&lt;=0,"Cash-flow positive",Inputs!B12+B15/B16)</f>
        <v/>
      </c>
    </row>
    <row r="18">
      <c r="A18" t="inlineStr">
        <is>
          <t>Target month</t>
        </is>
      </c>
      <c r="B18" s="14">
        <f>INDEX(Plan!$B$6:$B$41,Inputs!$B$12)</f>
        <v/>
      </c>
    </row>
    <row r="19">
      <c r="A19" t="inlineStr">
        <is>
          <t>ARR at the target month</t>
        </is>
      </c>
      <c r="B19" s="11">
        <f>INDEX(Plan!$D$6:$D$41,Inputs!$B$12)*12</f>
        <v/>
      </c>
    </row>
    <row r="20">
      <c r="A20" t="inlineStr">
        <is>
          <t>Team at the target month</t>
        </is>
      </c>
      <c r="B20" s="15">
        <f>INDEX(Plan!$M$6:$M$41,Inputs!$B$12)</f>
        <v/>
      </c>
    </row>
    <row r="22">
      <c r="A22" s="3" t="inlineStr">
        <is>
          <t>Sources and uses over the runway target</t>
        </is>
      </c>
      <c r="B22" s="4" t="n"/>
      <c r="C22" s="4" t="n"/>
      <c r="D22" s="4" t="n"/>
      <c r="E22" s="4" t="n"/>
    </row>
    <row r="23">
      <c r="A23" s="10" t="inlineStr">
        <is>
          <t>Sources</t>
        </is>
      </c>
      <c r="B23" s="10" t="inlineStr">
        <is>
          <t>Amount</t>
        </is>
      </c>
      <c r="C23" s="10" t="inlineStr"/>
      <c r="D23" s="10" t="inlineStr">
        <is>
          <t>Uses</t>
        </is>
      </c>
      <c r="E23" s="10" t="inlineStr">
        <is>
          <t>Amount</t>
        </is>
      </c>
    </row>
    <row r="24">
      <c r="A24" t="inlineStr">
        <is>
          <t>Cash on hand</t>
        </is>
      </c>
      <c r="B24" s="16">
        <f>B7</f>
        <v/>
      </c>
      <c r="D24" t="inlineStr">
        <is>
          <t>Current team and operations</t>
        </is>
      </c>
      <c r="E24" s="16">
        <f>Plan!F3*Inputs!B12</f>
        <v/>
      </c>
    </row>
    <row r="25">
      <c r="A25" t="inlineStr">
        <is>
          <t>Revenue collected</t>
        </is>
      </c>
      <c r="B25" s="16">
        <f>SUMIF(Plan!$C$6:$C$41,1,Plan!$D$6:$D$41)</f>
        <v/>
      </c>
      <c r="D25" t="inlineStr">
        <is>
          <t>Cost of revenue</t>
        </is>
      </c>
      <c r="E25" s="16">
        <f>SUMIF(Plan!$C$6:$C$41,1,Plan!$E$6:$E$41)</f>
        <v/>
      </c>
    </row>
    <row r="26">
      <c r="A26" t="inlineStr">
        <is>
          <t>New raise</t>
        </is>
      </c>
      <c r="B26" s="16">
        <f>B9</f>
        <v/>
      </c>
      <c r="D26" t="inlineStr">
        <is>
          <t>New hires</t>
        </is>
      </c>
      <c r="E26" s="16">
        <f>SUMIF(Plan!$C$6:$C$41,1,Plan!$G$6:$G$41)</f>
        <v/>
      </c>
    </row>
    <row r="27">
      <c r="D27" t="inlineStr">
        <is>
          <t>Other spend changes</t>
        </is>
      </c>
      <c r="E27" s="16">
        <f>SUMIF(Plan!$C$6:$C$41,1,Plan!$H$6:$H$41)</f>
        <v/>
      </c>
    </row>
    <row r="28">
      <c r="D28" t="inlineStr">
        <is>
          <t>Cash left at the target month</t>
        </is>
      </c>
      <c r="E28" s="16">
        <f>B15</f>
        <v/>
      </c>
    </row>
    <row r="29">
      <c r="A29" s="17" t="inlineStr">
        <is>
          <t>Total sources</t>
        </is>
      </c>
      <c r="B29" s="18">
        <f>SUM(B24:B26)</f>
        <v/>
      </c>
      <c r="D29" s="17" t="inlineStr">
        <is>
          <t>Total uses</t>
        </is>
      </c>
      <c r="E29" s="18">
        <f>SUM(E24:E28)</f>
        <v/>
      </c>
    </row>
    <row r="31">
      <c r="A31" s="3" t="inlineStr">
        <is>
          <t>Use of funds: what the raise pays for</t>
        </is>
      </c>
      <c r="B31" s="4" t="n"/>
      <c r="C31" s="4" t="n"/>
      <c r="H31" s="2" t="inlineStr">
        <is>
          <t>Helpers</t>
        </is>
      </c>
    </row>
    <row r="32">
      <c r="A32" s="10" t="inlineStr">
        <is>
          <t>Line</t>
        </is>
      </c>
      <c r="B32" s="10" t="inlineStr">
        <is>
          <t>Amount</t>
        </is>
      </c>
      <c r="C32" s="10" t="inlineStr"/>
      <c r="D32" s="10" t="inlineStr">
        <is>
          <t>Share</t>
        </is>
      </c>
    </row>
    <row r="33">
      <c r="A33" t="inlineStr">
        <is>
          <t>New hires</t>
        </is>
      </c>
      <c r="B33" s="16">
        <f>IF(B9=0,0,IF(I35&gt;=I39,I36,I36*I40))</f>
        <v/>
      </c>
      <c r="D33" s="19">
        <f>IF(B9=0,0,B33/B9)</f>
        <v/>
      </c>
    </row>
    <row r="34">
      <c r="A34" t="inlineStr">
        <is>
          <t>Other new spend</t>
        </is>
      </c>
      <c r="B34" s="16">
        <f>IF(B9=0,0,IF(I35&gt;=I39,I37,I37*I40))</f>
        <v/>
      </c>
      <c r="D34" s="19">
        <f>IF(B9=0,0,B34/B9)</f>
        <v/>
      </c>
    </row>
    <row r="35">
      <c r="A35" t="inlineStr">
        <is>
          <t>Current team and operations</t>
        </is>
      </c>
      <c r="B35" s="16">
        <f>IF(B9=0,0,IF(I35&gt;=I39,I35-I39,0))</f>
        <v/>
      </c>
      <c r="D35" s="19">
        <f>IF(B9=0,0,B35/B9)</f>
        <v/>
      </c>
      <c r="H35" t="inlineStr">
        <is>
          <t>Operations incl. cost of revenue and cuts</t>
        </is>
      </c>
      <c r="I35" s="16">
        <f>E24+E25+MIN(0,E27)</f>
        <v/>
      </c>
    </row>
    <row r="36">
      <c r="A36" t="inlineStr">
        <is>
          <t>Buffer</t>
        </is>
      </c>
      <c r="B36" s="16">
        <f>IF(B9=0,0,IF(I35&gt;=I39,I38,I38*I40))</f>
        <v/>
      </c>
      <c r="D36" s="19">
        <f>IF(B9=0,0,B36/B9)</f>
        <v/>
      </c>
      <c r="H36" t="inlineStr">
        <is>
          <t>Hires</t>
        </is>
      </c>
      <c r="I36" s="16">
        <f>E26</f>
        <v/>
      </c>
    </row>
    <row r="37">
      <c r="A37" s="17" t="inlineStr">
        <is>
          <t>Raise</t>
        </is>
      </c>
      <c r="B37" s="18">
        <f>SUM(B33:B36)</f>
        <v/>
      </c>
      <c r="H37" t="inlineStr">
        <is>
          <t>Other new spend</t>
        </is>
      </c>
      <c r="I37" s="16">
        <f>MAX(0,E27)</f>
        <v/>
      </c>
    </row>
    <row r="38">
      <c r="H38" t="inlineStr">
        <is>
          <t>Buffer</t>
        </is>
      </c>
      <c r="I38" s="16">
        <f>MAX(0,E28)</f>
        <v/>
      </c>
    </row>
    <row r="39">
      <c r="A39" s="3" t="inlineStr">
        <is>
          <t>The 3 numbers your financial slide needs</t>
        </is>
      </c>
      <c r="B39" s="4" t="n"/>
      <c r="C39" s="4" t="n"/>
      <c r="D39" s="4" t="n"/>
      <c r="E39" s="4" t="n"/>
      <c r="H39" t="inlineStr">
        <is>
          <t>Paid by revenue + cash</t>
        </is>
      </c>
      <c r="I39" s="16">
        <f>B24+B25</f>
        <v/>
      </c>
    </row>
    <row r="40">
      <c r="A40" s="17" t="inlineStr">
        <is>
          <t>The ask</t>
        </is>
      </c>
      <c r="B40">
        <f>IF(B9=0,"No raise needed","Raising "&amp;TEXT(B9,"$#,##0")&amp;" for "&amp;TEXT(B14,"0.0%")&amp;" ("&amp;TEXT(B12,"$#,##0")&amp;" post-money)")</f>
        <v/>
      </c>
      <c r="H40" t="inlineStr">
        <is>
          <t>Scale if revenue + cash exceed operations</t>
        </is>
      </c>
      <c r="I40" s="20">
        <f>IF(I36+I37+I38&gt;0,B9/(I36+I37+I38),0)</f>
        <v/>
      </c>
    </row>
    <row r="41">
      <c r="A41" s="17" t="inlineStr">
        <is>
          <t>Runway it buys</t>
        </is>
      </c>
      <c r="B41">
        <f>IF(ISNUMBER(B17),TEXT(B17,"0.0")&amp;" months: plan to "&amp;TEXT(B18,"mmm yyyy")&amp;" with "&amp;TEXT(B15,"$#,##0")&amp;" left","Cash-flow positive by "&amp;TEXT(B18,"mmm yyyy"))</f>
        <v/>
      </c>
    </row>
    <row r="42">
      <c r="A42" s="17" t="inlineStr">
        <is>
          <t>Where it gets you</t>
        </is>
      </c>
      <c r="B42">
        <f>TEXT(B19,"$#,##0")&amp;" ARR (from "&amp;TEXT(Inputs!B8*12,"$#,##0")&amp;") and a team of "&amp;B20&amp;" (from "&amp;Inputs!B11&amp;") by "&amp;TEXT(B18,"mmm yyyy")</f>
        <v/>
      </c>
    </row>
    <row r="44">
      <c r="A44" s="2" t="inlineStr">
        <is>
          <t>Raise = (deepest cumulative burn inside the runway target x (1 + buffer)) - cash on hand, rounded up. Dilution = raise / post-money.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3" customWidth="1" min="4" max="4"/>
    <col width="12" customWidth="1" min="5" max="5"/>
    <col width="13" customWidth="1" min="6" max="6"/>
    <col width="12" customWidth="1" min="7" max="7"/>
    <col width="12" customWidth="1" min="8" max="8"/>
    <col width="13" customWidth="1" min="9" max="9"/>
    <col width="13" customWidth="1" min="10" max="10"/>
    <col width="14" customWidth="1" min="11" max="11"/>
    <col width="14" customWidth="1" min="12" max="12"/>
    <col width="9" customWidth="1" min="13" max="13"/>
    <col width="14" customWidth="1" min="14" max="14"/>
  </cols>
  <sheetData>
    <row r="1">
      <c r="A1" s="1" t="inlineStr">
        <is>
          <t>Month-by-month plan after the money lands</t>
        </is>
      </c>
    </row>
    <row r="2">
      <c r="A2" s="2" t="inlineStr">
        <is>
          <t>Rows past the runway target are greyed out by the "In plan" flag and ignored by the summary.</t>
        </is>
      </c>
    </row>
    <row r="3">
      <c r="A3" t="inlineStr">
        <is>
          <t>Base opex (today's spend without cost of revenue)</t>
        </is>
      </c>
      <c r="F3" s="18">
        <f>Inputs!B7+Inputs!B8-Inputs!B10*Inputs!B8</f>
        <v/>
      </c>
    </row>
    <row r="5">
      <c r="A5" s="10" t="inlineStr">
        <is>
          <t>Plan month</t>
        </is>
      </c>
      <c r="B5" s="10" t="inlineStr">
        <is>
          <t>Month</t>
        </is>
      </c>
      <c r="C5" s="10" t="inlineStr">
        <is>
          <t>In plan</t>
        </is>
      </c>
      <c r="D5" s="10" t="inlineStr">
        <is>
          <t>Revenue (MRR)</t>
        </is>
      </c>
      <c r="E5" s="10" t="inlineStr">
        <is>
          <t>Cost of revenue</t>
        </is>
      </c>
      <c r="F5" s="10" t="inlineStr">
        <is>
          <t>Base opex</t>
        </is>
      </c>
      <c r="G5" s="10" t="inlineStr">
        <is>
          <t>New hires</t>
        </is>
      </c>
      <c r="H5" s="10" t="inlineStr">
        <is>
          <t>Other changes</t>
        </is>
      </c>
      <c r="I5" s="10" t="inlineStr">
        <is>
          <t>Total spend</t>
        </is>
      </c>
      <c r="J5" s="10" t="inlineStr">
        <is>
          <t>Net burn</t>
        </is>
      </c>
      <c r="K5" s="10" t="inlineStr">
        <is>
          <t>Cumulative burn</t>
        </is>
      </c>
      <c r="L5" s="10" t="inlineStr">
        <is>
          <t>Cash after raise</t>
        </is>
      </c>
      <c r="M5" s="10" t="inlineStr">
        <is>
          <t>Team</t>
        </is>
      </c>
      <c r="N5" s="10" t="inlineStr">
        <is>
          <t>Cum. burn in plan</t>
        </is>
      </c>
    </row>
    <row r="6">
      <c r="A6" t="n">
        <v>1</v>
      </c>
      <c r="B6" s="21">
        <f>EDATE(Inputs!$B$5,A6-1)</f>
        <v/>
      </c>
      <c r="C6">
        <f>IF(A6&lt;=Inputs!$B$12,1,0)</f>
        <v/>
      </c>
      <c r="D6" s="16">
        <f>Inputs!$B$8*(1+Inputs!$B$9)^A6</f>
        <v/>
      </c>
      <c r="E6" s="16">
        <f>Inputs!$B$10*D6</f>
        <v/>
      </c>
      <c r="F6" s="16">
        <f>$F$3</f>
        <v/>
      </c>
      <c r="G6" s="16">
        <f>SUMPRODUCT((Inputs!$D$20:$D$31&lt;=A6)*(Inputs!$D$20:$D$31&lt;&gt;"")*Inputs!$B$20:$B$31*Inputs!$C$20:$C$31)</f>
        <v/>
      </c>
      <c r="H6" s="16">
        <f>SUMPRODUCT((Inputs!$C$35:$C$42&lt;=A6)*(Inputs!$C$35:$C$42&lt;&gt;"")*Inputs!$B$35:$B$42)</f>
        <v/>
      </c>
      <c r="I6" s="16">
        <f>E6+F6+G6+H6</f>
        <v/>
      </c>
      <c r="J6" s="16">
        <f>I6-D6</f>
        <v/>
      </c>
      <c r="K6" s="16">
        <f>J6</f>
        <v/>
      </c>
      <c r="L6" s="16">
        <f>Summary!$B$11-J6</f>
        <v/>
      </c>
      <c r="M6">
        <f>Inputs!$B$11+SUMPRODUCT((Inputs!$D$20:$D$31&lt;=A6)*(Inputs!$D$20:$D$31&lt;&gt;"")*Inputs!$B$20:$B$31)</f>
        <v/>
      </c>
      <c r="N6" s="16">
        <f>IF(C6=1,K6,0)</f>
        <v/>
      </c>
    </row>
    <row r="7">
      <c r="A7" t="n">
        <v>2</v>
      </c>
      <c r="B7" s="21">
        <f>EDATE(Inputs!$B$5,A7-1)</f>
        <v/>
      </c>
      <c r="C7">
        <f>IF(A7&lt;=Inputs!$B$12,1,0)</f>
        <v/>
      </c>
      <c r="D7" s="16">
        <f>Inputs!$B$8*(1+Inputs!$B$9)^A7</f>
        <v/>
      </c>
      <c r="E7" s="16">
        <f>Inputs!$B$10*D7</f>
        <v/>
      </c>
      <c r="F7" s="16">
        <f>$F$3</f>
        <v/>
      </c>
      <c r="G7" s="16">
        <f>SUMPRODUCT((Inputs!$D$20:$D$31&lt;=A7)*(Inputs!$D$20:$D$31&lt;&gt;"")*Inputs!$B$20:$B$31*Inputs!$C$20:$C$31)</f>
        <v/>
      </c>
      <c r="H7" s="16">
        <f>SUMPRODUCT((Inputs!$C$35:$C$42&lt;=A7)*(Inputs!$C$35:$C$42&lt;&gt;"")*Inputs!$B$35:$B$42)</f>
        <v/>
      </c>
      <c r="I7" s="16">
        <f>E7+F7+G7+H7</f>
        <v/>
      </c>
      <c r="J7" s="16">
        <f>I7-D7</f>
        <v/>
      </c>
      <c r="K7" s="16">
        <f>K6+J7</f>
        <v/>
      </c>
      <c r="L7" s="16">
        <f>L6-J7</f>
        <v/>
      </c>
      <c r="M7">
        <f>Inputs!$B$11+SUMPRODUCT((Inputs!$D$20:$D$31&lt;=A7)*(Inputs!$D$20:$D$31&lt;&gt;"")*Inputs!$B$20:$B$31)</f>
        <v/>
      </c>
      <c r="N7" s="16">
        <f>IF(C7=1,K7,0)</f>
        <v/>
      </c>
    </row>
    <row r="8">
      <c r="A8" t="n">
        <v>3</v>
      </c>
      <c r="B8" s="21">
        <f>EDATE(Inputs!$B$5,A8-1)</f>
        <v/>
      </c>
      <c r="C8">
        <f>IF(A8&lt;=Inputs!$B$12,1,0)</f>
        <v/>
      </c>
      <c r="D8" s="16">
        <f>Inputs!$B$8*(1+Inputs!$B$9)^A8</f>
        <v/>
      </c>
      <c r="E8" s="16">
        <f>Inputs!$B$10*D8</f>
        <v/>
      </c>
      <c r="F8" s="16">
        <f>$F$3</f>
        <v/>
      </c>
      <c r="G8" s="16">
        <f>SUMPRODUCT((Inputs!$D$20:$D$31&lt;=A8)*(Inputs!$D$20:$D$31&lt;&gt;"")*Inputs!$B$20:$B$31*Inputs!$C$20:$C$31)</f>
        <v/>
      </c>
      <c r="H8" s="16">
        <f>SUMPRODUCT((Inputs!$C$35:$C$42&lt;=A8)*(Inputs!$C$35:$C$42&lt;&gt;"")*Inputs!$B$35:$B$42)</f>
        <v/>
      </c>
      <c r="I8" s="16">
        <f>E8+F8+G8+H8</f>
        <v/>
      </c>
      <c r="J8" s="16">
        <f>I8-D8</f>
        <v/>
      </c>
      <c r="K8" s="16">
        <f>K7+J8</f>
        <v/>
      </c>
      <c r="L8" s="16">
        <f>L7-J8</f>
        <v/>
      </c>
      <c r="M8">
        <f>Inputs!$B$11+SUMPRODUCT((Inputs!$D$20:$D$31&lt;=A8)*(Inputs!$D$20:$D$31&lt;&gt;"")*Inputs!$B$20:$B$31)</f>
        <v/>
      </c>
      <c r="N8" s="16">
        <f>IF(C8=1,K8,0)</f>
        <v/>
      </c>
    </row>
    <row r="9">
      <c r="A9" t="n">
        <v>4</v>
      </c>
      <c r="B9" s="21">
        <f>EDATE(Inputs!$B$5,A9-1)</f>
        <v/>
      </c>
      <c r="C9">
        <f>IF(A9&lt;=Inputs!$B$12,1,0)</f>
        <v/>
      </c>
      <c r="D9" s="16">
        <f>Inputs!$B$8*(1+Inputs!$B$9)^A9</f>
        <v/>
      </c>
      <c r="E9" s="16">
        <f>Inputs!$B$10*D9</f>
        <v/>
      </c>
      <c r="F9" s="16">
        <f>$F$3</f>
        <v/>
      </c>
      <c r="G9" s="16">
        <f>SUMPRODUCT((Inputs!$D$20:$D$31&lt;=A9)*(Inputs!$D$20:$D$31&lt;&gt;"")*Inputs!$B$20:$B$31*Inputs!$C$20:$C$31)</f>
        <v/>
      </c>
      <c r="H9" s="16">
        <f>SUMPRODUCT((Inputs!$C$35:$C$42&lt;=A9)*(Inputs!$C$35:$C$42&lt;&gt;"")*Inputs!$B$35:$B$42)</f>
        <v/>
      </c>
      <c r="I9" s="16">
        <f>E9+F9+G9+H9</f>
        <v/>
      </c>
      <c r="J9" s="16">
        <f>I9-D9</f>
        <v/>
      </c>
      <c r="K9" s="16">
        <f>K8+J9</f>
        <v/>
      </c>
      <c r="L9" s="16">
        <f>L8-J9</f>
        <v/>
      </c>
      <c r="M9">
        <f>Inputs!$B$11+SUMPRODUCT((Inputs!$D$20:$D$31&lt;=A9)*(Inputs!$D$20:$D$31&lt;&gt;"")*Inputs!$B$20:$B$31)</f>
        <v/>
      </c>
      <c r="N9" s="16">
        <f>IF(C9=1,K9,0)</f>
        <v/>
      </c>
    </row>
    <row r="10">
      <c r="A10" t="n">
        <v>5</v>
      </c>
      <c r="B10" s="21">
        <f>EDATE(Inputs!$B$5,A10-1)</f>
        <v/>
      </c>
      <c r="C10">
        <f>IF(A10&lt;=Inputs!$B$12,1,0)</f>
        <v/>
      </c>
      <c r="D10" s="16">
        <f>Inputs!$B$8*(1+Inputs!$B$9)^A10</f>
        <v/>
      </c>
      <c r="E10" s="16">
        <f>Inputs!$B$10*D10</f>
        <v/>
      </c>
      <c r="F10" s="16">
        <f>$F$3</f>
        <v/>
      </c>
      <c r="G10" s="16">
        <f>SUMPRODUCT((Inputs!$D$20:$D$31&lt;=A10)*(Inputs!$D$20:$D$31&lt;&gt;"")*Inputs!$B$20:$B$31*Inputs!$C$20:$C$31)</f>
        <v/>
      </c>
      <c r="H10" s="16">
        <f>SUMPRODUCT((Inputs!$C$35:$C$42&lt;=A10)*(Inputs!$C$35:$C$42&lt;&gt;"")*Inputs!$B$35:$B$42)</f>
        <v/>
      </c>
      <c r="I10" s="16">
        <f>E10+F10+G10+H10</f>
        <v/>
      </c>
      <c r="J10" s="16">
        <f>I10-D10</f>
        <v/>
      </c>
      <c r="K10" s="16">
        <f>K9+J10</f>
        <v/>
      </c>
      <c r="L10" s="16">
        <f>L9-J10</f>
        <v/>
      </c>
      <c r="M10">
        <f>Inputs!$B$11+SUMPRODUCT((Inputs!$D$20:$D$31&lt;=A10)*(Inputs!$D$20:$D$31&lt;&gt;"")*Inputs!$B$20:$B$31)</f>
        <v/>
      </c>
      <c r="N10" s="16">
        <f>IF(C10=1,K10,0)</f>
        <v/>
      </c>
    </row>
    <row r="11">
      <c r="A11" t="n">
        <v>6</v>
      </c>
      <c r="B11" s="21">
        <f>EDATE(Inputs!$B$5,A11-1)</f>
        <v/>
      </c>
      <c r="C11">
        <f>IF(A11&lt;=Inputs!$B$12,1,0)</f>
        <v/>
      </c>
      <c r="D11" s="16">
        <f>Inputs!$B$8*(1+Inputs!$B$9)^A11</f>
        <v/>
      </c>
      <c r="E11" s="16">
        <f>Inputs!$B$10*D11</f>
        <v/>
      </c>
      <c r="F11" s="16">
        <f>$F$3</f>
        <v/>
      </c>
      <c r="G11" s="16">
        <f>SUMPRODUCT((Inputs!$D$20:$D$31&lt;=A11)*(Inputs!$D$20:$D$31&lt;&gt;"")*Inputs!$B$20:$B$31*Inputs!$C$20:$C$31)</f>
        <v/>
      </c>
      <c r="H11" s="16">
        <f>SUMPRODUCT((Inputs!$C$35:$C$42&lt;=A11)*(Inputs!$C$35:$C$42&lt;&gt;"")*Inputs!$B$35:$B$42)</f>
        <v/>
      </c>
      <c r="I11" s="16">
        <f>E11+F11+G11+H11</f>
        <v/>
      </c>
      <c r="J11" s="16">
        <f>I11-D11</f>
        <v/>
      </c>
      <c r="K11" s="16">
        <f>K10+J11</f>
        <v/>
      </c>
      <c r="L11" s="16">
        <f>L10-J11</f>
        <v/>
      </c>
      <c r="M11">
        <f>Inputs!$B$11+SUMPRODUCT((Inputs!$D$20:$D$31&lt;=A11)*(Inputs!$D$20:$D$31&lt;&gt;"")*Inputs!$B$20:$B$31)</f>
        <v/>
      </c>
      <c r="N11" s="16">
        <f>IF(C11=1,K11,0)</f>
        <v/>
      </c>
    </row>
    <row r="12">
      <c r="A12" t="n">
        <v>7</v>
      </c>
      <c r="B12" s="21">
        <f>EDATE(Inputs!$B$5,A12-1)</f>
        <v/>
      </c>
      <c r="C12">
        <f>IF(A12&lt;=Inputs!$B$12,1,0)</f>
        <v/>
      </c>
      <c r="D12" s="16">
        <f>Inputs!$B$8*(1+Inputs!$B$9)^A12</f>
        <v/>
      </c>
      <c r="E12" s="16">
        <f>Inputs!$B$10*D12</f>
        <v/>
      </c>
      <c r="F12" s="16">
        <f>$F$3</f>
        <v/>
      </c>
      <c r="G12" s="16">
        <f>SUMPRODUCT((Inputs!$D$20:$D$31&lt;=A12)*(Inputs!$D$20:$D$31&lt;&gt;"")*Inputs!$B$20:$B$31*Inputs!$C$20:$C$31)</f>
        <v/>
      </c>
      <c r="H12" s="16">
        <f>SUMPRODUCT((Inputs!$C$35:$C$42&lt;=A12)*(Inputs!$C$35:$C$42&lt;&gt;"")*Inputs!$B$35:$B$42)</f>
        <v/>
      </c>
      <c r="I12" s="16">
        <f>E12+F12+G12+H12</f>
        <v/>
      </c>
      <c r="J12" s="16">
        <f>I12-D12</f>
        <v/>
      </c>
      <c r="K12" s="16">
        <f>K11+J12</f>
        <v/>
      </c>
      <c r="L12" s="16">
        <f>L11-J12</f>
        <v/>
      </c>
      <c r="M12">
        <f>Inputs!$B$11+SUMPRODUCT((Inputs!$D$20:$D$31&lt;=A12)*(Inputs!$D$20:$D$31&lt;&gt;"")*Inputs!$B$20:$B$31)</f>
        <v/>
      </c>
      <c r="N12" s="16">
        <f>IF(C12=1,K12,0)</f>
        <v/>
      </c>
    </row>
    <row r="13">
      <c r="A13" t="n">
        <v>8</v>
      </c>
      <c r="B13" s="21">
        <f>EDATE(Inputs!$B$5,A13-1)</f>
        <v/>
      </c>
      <c r="C13">
        <f>IF(A13&lt;=Inputs!$B$12,1,0)</f>
        <v/>
      </c>
      <c r="D13" s="16">
        <f>Inputs!$B$8*(1+Inputs!$B$9)^A13</f>
        <v/>
      </c>
      <c r="E13" s="16">
        <f>Inputs!$B$10*D13</f>
        <v/>
      </c>
      <c r="F13" s="16">
        <f>$F$3</f>
        <v/>
      </c>
      <c r="G13" s="16">
        <f>SUMPRODUCT((Inputs!$D$20:$D$31&lt;=A13)*(Inputs!$D$20:$D$31&lt;&gt;"")*Inputs!$B$20:$B$31*Inputs!$C$20:$C$31)</f>
        <v/>
      </c>
      <c r="H13" s="16">
        <f>SUMPRODUCT((Inputs!$C$35:$C$42&lt;=A13)*(Inputs!$C$35:$C$42&lt;&gt;"")*Inputs!$B$35:$B$42)</f>
        <v/>
      </c>
      <c r="I13" s="16">
        <f>E13+F13+G13+H13</f>
        <v/>
      </c>
      <c r="J13" s="16">
        <f>I13-D13</f>
        <v/>
      </c>
      <c r="K13" s="16">
        <f>K12+J13</f>
        <v/>
      </c>
      <c r="L13" s="16">
        <f>L12-J13</f>
        <v/>
      </c>
      <c r="M13">
        <f>Inputs!$B$11+SUMPRODUCT((Inputs!$D$20:$D$31&lt;=A13)*(Inputs!$D$20:$D$31&lt;&gt;"")*Inputs!$B$20:$B$31)</f>
        <v/>
      </c>
      <c r="N13" s="16">
        <f>IF(C13=1,K13,0)</f>
        <v/>
      </c>
    </row>
    <row r="14">
      <c r="A14" t="n">
        <v>9</v>
      </c>
      <c r="B14" s="21">
        <f>EDATE(Inputs!$B$5,A14-1)</f>
        <v/>
      </c>
      <c r="C14">
        <f>IF(A14&lt;=Inputs!$B$12,1,0)</f>
        <v/>
      </c>
      <c r="D14" s="16">
        <f>Inputs!$B$8*(1+Inputs!$B$9)^A14</f>
        <v/>
      </c>
      <c r="E14" s="16">
        <f>Inputs!$B$10*D14</f>
        <v/>
      </c>
      <c r="F14" s="16">
        <f>$F$3</f>
        <v/>
      </c>
      <c r="G14" s="16">
        <f>SUMPRODUCT((Inputs!$D$20:$D$31&lt;=A14)*(Inputs!$D$20:$D$31&lt;&gt;"")*Inputs!$B$20:$B$31*Inputs!$C$20:$C$31)</f>
        <v/>
      </c>
      <c r="H14" s="16">
        <f>SUMPRODUCT((Inputs!$C$35:$C$42&lt;=A14)*(Inputs!$C$35:$C$42&lt;&gt;"")*Inputs!$B$35:$B$42)</f>
        <v/>
      </c>
      <c r="I14" s="16">
        <f>E14+F14+G14+H14</f>
        <v/>
      </c>
      <c r="J14" s="16">
        <f>I14-D14</f>
        <v/>
      </c>
      <c r="K14" s="16">
        <f>K13+J14</f>
        <v/>
      </c>
      <c r="L14" s="16">
        <f>L13-J14</f>
        <v/>
      </c>
      <c r="M14">
        <f>Inputs!$B$11+SUMPRODUCT((Inputs!$D$20:$D$31&lt;=A14)*(Inputs!$D$20:$D$31&lt;&gt;"")*Inputs!$B$20:$B$31)</f>
        <v/>
      </c>
      <c r="N14" s="16">
        <f>IF(C14=1,K14,0)</f>
        <v/>
      </c>
    </row>
    <row r="15">
      <c r="A15" t="n">
        <v>10</v>
      </c>
      <c r="B15" s="21">
        <f>EDATE(Inputs!$B$5,A15-1)</f>
        <v/>
      </c>
      <c r="C15">
        <f>IF(A15&lt;=Inputs!$B$12,1,0)</f>
        <v/>
      </c>
      <c r="D15" s="16">
        <f>Inputs!$B$8*(1+Inputs!$B$9)^A15</f>
        <v/>
      </c>
      <c r="E15" s="16">
        <f>Inputs!$B$10*D15</f>
        <v/>
      </c>
      <c r="F15" s="16">
        <f>$F$3</f>
        <v/>
      </c>
      <c r="G15" s="16">
        <f>SUMPRODUCT((Inputs!$D$20:$D$31&lt;=A15)*(Inputs!$D$20:$D$31&lt;&gt;"")*Inputs!$B$20:$B$31*Inputs!$C$20:$C$31)</f>
        <v/>
      </c>
      <c r="H15" s="16">
        <f>SUMPRODUCT((Inputs!$C$35:$C$42&lt;=A15)*(Inputs!$C$35:$C$42&lt;&gt;"")*Inputs!$B$35:$B$42)</f>
        <v/>
      </c>
      <c r="I15" s="16">
        <f>E15+F15+G15+H15</f>
        <v/>
      </c>
      <c r="J15" s="16">
        <f>I15-D15</f>
        <v/>
      </c>
      <c r="K15" s="16">
        <f>K14+J15</f>
        <v/>
      </c>
      <c r="L15" s="16">
        <f>L14-J15</f>
        <v/>
      </c>
      <c r="M15">
        <f>Inputs!$B$11+SUMPRODUCT((Inputs!$D$20:$D$31&lt;=A15)*(Inputs!$D$20:$D$31&lt;&gt;"")*Inputs!$B$20:$B$31)</f>
        <v/>
      </c>
      <c r="N15" s="16">
        <f>IF(C15=1,K15,0)</f>
        <v/>
      </c>
    </row>
    <row r="16">
      <c r="A16" t="n">
        <v>11</v>
      </c>
      <c r="B16" s="21">
        <f>EDATE(Inputs!$B$5,A16-1)</f>
        <v/>
      </c>
      <c r="C16">
        <f>IF(A16&lt;=Inputs!$B$12,1,0)</f>
        <v/>
      </c>
      <c r="D16" s="16">
        <f>Inputs!$B$8*(1+Inputs!$B$9)^A16</f>
        <v/>
      </c>
      <c r="E16" s="16">
        <f>Inputs!$B$10*D16</f>
        <v/>
      </c>
      <c r="F16" s="16">
        <f>$F$3</f>
        <v/>
      </c>
      <c r="G16" s="16">
        <f>SUMPRODUCT((Inputs!$D$20:$D$31&lt;=A16)*(Inputs!$D$20:$D$31&lt;&gt;"")*Inputs!$B$20:$B$31*Inputs!$C$20:$C$31)</f>
        <v/>
      </c>
      <c r="H16" s="16">
        <f>SUMPRODUCT((Inputs!$C$35:$C$42&lt;=A16)*(Inputs!$C$35:$C$42&lt;&gt;"")*Inputs!$B$35:$B$42)</f>
        <v/>
      </c>
      <c r="I16" s="16">
        <f>E16+F16+G16+H16</f>
        <v/>
      </c>
      <c r="J16" s="16">
        <f>I16-D16</f>
        <v/>
      </c>
      <c r="K16" s="16">
        <f>K15+J16</f>
        <v/>
      </c>
      <c r="L16" s="16">
        <f>L15-J16</f>
        <v/>
      </c>
      <c r="M16">
        <f>Inputs!$B$11+SUMPRODUCT((Inputs!$D$20:$D$31&lt;=A16)*(Inputs!$D$20:$D$31&lt;&gt;"")*Inputs!$B$20:$B$31)</f>
        <v/>
      </c>
      <c r="N16" s="16">
        <f>IF(C16=1,K16,0)</f>
        <v/>
      </c>
    </row>
    <row r="17">
      <c r="A17" t="n">
        <v>12</v>
      </c>
      <c r="B17" s="21">
        <f>EDATE(Inputs!$B$5,A17-1)</f>
        <v/>
      </c>
      <c r="C17">
        <f>IF(A17&lt;=Inputs!$B$12,1,0)</f>
        <v/>
      </c>
      <c r="D17" s="16">
        <f>Inputs!$B$8*(1+Inputs!$B$9)^A17</f>
        <v/>
      </c>
      <c r="E17" s="16">
        <f>Inputs!$B$10*D17</f>
        <v/>
      </c>
      <c r="F17" s="16">
        <f>$F$3</f>
        <v/>
      </c>
      <c r="G17" s="16">
        <f>SUMPRODUCT((Inputs!$D$20:$D$31&lt;=A17)*(Inputs!$D$20:$D$31&lt;&gt;"")*Inputs!$B$20:$B$31*Inputs!$C$20:$C$31)</f>
        <v/>
      </c>
      <c r="H17" s="16">
        <f>SUMPRODUCT((Inputs!$C$35:$C$42&lt;=A17)*(Inputs!$C$35:$C$42&lt;&gt;"")*Inputs!$B$35:$B$42)</f>
        <v/>
      </c>
      <c r="I17" s="16">
        <f>E17+F17+G17+H17</f>
        <v/>
      </c>
      <c r="J17" s="16">
        <f>I17-D17</f>
        <v/>
      </c>
      <c r="K17" s="16">
        <f>K16+J17</f>
        <v/>
      </c>
      <c r="L17" s="16">
        <f>L16-J17</f>
        <v/>
      </c>
      <c r="M17">
        <f>Inputs!$B$11+SUMPRODUCT((Inputs!$D$20:$D$31&lt;=A17)*(Inputs!$D$20:$D$31&lt;&gt;"")*Inputs!$B$20:$B$31)</f>
        <v/>
      </c>
      <c r="N17" s="16">
        <f>IF(C17=1,K17,0)</f>
        <v/>
      </c>
    </row>
    <row r="18">
      <c r="A18" t="n">
        <v>13</v>
      </c>
      <c r="B18" s="21">
        <f>EDATE(Inputs!$B$5,A18-1)</f>
        <v/>
      </c>
      <c r="C18">
        <f>IF(A18&lt;=Inputs!$B$12,1,0)</f>
        <v/>
      </c>
      <c r="D18" s="16">
        <f>Inputs!$B$8*(1+Inputs!$B$9)^A18</f>
        <v/>
      </c>
      <c r="E18" s="16">
        <f>Inputs!$B$10*D18</f>
        <v/>
      </c>
      <c r="F18" s="16">
        <f>$F$3</f>
        <v/>
      </c>
      <c r="G18" s="16">
        <f>SUMPRODUCT((Inputs!$D$20:$D$31&lt;=A18)*(Inputs!$D$20:$D$31&lt;&gt;"")*Inputs!$B$20:$B$31*Inputs!$C$20:$C$31)</f>
        <v/>
      </c>
      <c r="H18" s="16">
        <f>SUMPRODUCT((Inputs!$C$35:$C$42&lt;=A18)*(Inputs!$C$35:$C$42&lt;&gt;"")*Inputs!$B$35:$B$42)</f>
        <v/>
      </c>
      <c r="I18" s="16">
        <f>E18+F18+G18+H18</f>
        <v/>
      </c>
      <c r="J18" s="16">
        <f>I18-D18</f>
        <v/>
      </c>
      <c r="K18" s="16">
        <f>K17+J18</f>
        <v/>
      </c>
      <c r="L18" s="16">
        <f>L17-J18</f>
        <v/>
      </c>
      <c r="M18">
        <f>Inputs!$B$11+SUMPRODUCT((Inputs!$D$20:$D$31&lt;=A18)*(Inputs!$D$20:$D$31&lt;&gt;"")*Inputs!$B$20:$B$31)</f>
        <v/>
      </c>
      <c r="N18" s="16">
        <f>IF(C18=1,K18,0)</f>
        <v/>
      </c>
    </row>
    <row r="19">
      <c r="A19" t="n">
        <v>14</v>
      </c>
      <c r="B19" s="21">
        <f>EDATE(Inputs!$B$5,A19-1)</f>
        <v/>
      </c>
      <c r="C19">
        <f>IF(A19&lt;=Inputs!$B$12,1,0)</f>
        <v/>
      </c>
      <c r="D19" s="16">
        <f>Inputs!$B$8*(1+Inputs!$B$9)^A19</f>
        <v/>
      </c>
      <c r="E19" s="16">
        <f>Inputs!$B$10*D19</f>
        <v/>
      </c>
      <c r="F19" s="16">
        <f>$F$3</f>
        <v/>
      </c>
      <c r="G19" s="16">
        <f>SUMPRODUCT((Inputs!$D$20:$D$31&lt;=A19)*(Inputs!$D$20:$D$31&lt;&gt;"")*Inputs!$B$20:$B$31*Inputs!$C$20:$C$31)</f>
        <v/>
      </c>
      <c r="H19" s="16">
        <f>SUMPRODUCT((Inputs!$C$35:$C$42&lt;=A19)*(Inputs!$C$35:$C$42&lt;&gt;"")*Inputs!$B$35:$B$42)</f>
        <v/>
      </c>
      <c r="I19" s="16">
        <f>E19+F19+G19+H19</f>
        <v/>
      </c>
      <c r="J19" s="16">
        <f>I19-D19</f>
        <v/>
      </c>
      <c r="K19" s="16">
        <f>K18+J19</f>
        <v/>
      </c>
      <c r="L19" s="16">
        <f>L18-J19</f>
        <v/>
      </c>
      <c r="M19">
        <f>Inputs!$B$11+SUMPRODUCT((Inputs!$D$20:$D$31&lt;=A19)*(Inputs!$D$20:$D$31&lt;&gt;"")*Inputs!$B$20:$B$31)</f>
        <v/>
      </c>
      <c r="N19" s="16">
        <f>IF(C19=1,K19,0)</f>
        <v/>
      </c>
    </row>
    <row r="20">
      <c r="A20" t="n">
        <v>15</v>
      </c>
      <c r="B20" s="21">
        <f>EDATE(Inputs!$B$5,A20-1)</f>
        <v/>
      </c>
      <c r="C20">
        <f>IF(A20&lt;=Inputs!$B$12,1,0)</f>
        <v/>
      </c>
      <c r="D20" s="16">
        <f>Inputs!$B$8*(1+Inputs!$B$9)^A20</f>
        <v/>
      </c>
      <c r="E20" s="16">
        <f>Inputs!$B$10*D20</f>
        <v/>
      </c>
      <c r="F20" s="16">
        <f>$F$3</f>
        <v/>
      </c>
      <c r="G20" s="16">
        <f>SUMPRODUCT((Inputs!$D$20:$D$31&lt;=A20)*(Inputs!$D$20:$D$31&lt;&gt;"")*Inputs!$B$20:$B$31*Inputs!$C$20:$C$31)</f>
        <v/>
      </c>
      <c r="H20" s="16">
        <f>SUMPRODUCT((Inputs!$C$35:$C$42&lt;=A20)*(Inputs!$C$35:$C$42&lt;&gt;"")*Inputs!$B$35:$B$42)</f>
        <v/>
      </c>
      <c r="I20" s="16">
        <f>E20+F20+G20+H20</f>
        <v/>
      </c>
      <c r="J20" s="16">
        <f>I20-D20</f>
        <v/>
      </c>
      <c r="K20" s="16">
        <f>K19+J20</f>
        <v/>
      </c>
      <c r="L20" s="16">
        <f>L19-J20</f>
        <v/>
      </c>
      <c r="M20">
        <f>Inputs!$B$11+SUMPRODUCT((Inputs!$D$20:$D$31&lt;=A20)*(Inputs!$D$20:$D$31&lt;&gt;"")*Inputs!$B$20:$B$31)</f>
        <v/>
      </c>
      <c r="N20" s="16">
        <f>IF(C20=1,K20,0)</f>
        <v/>
      </c>
    </row>
    <row r="21">
      <c r="A21" t="n">
        <v>16</v>
      </c>
      <c r="B21" s="21">
        <f>EDATE(Inputs!$B$5,A21-1)</f>
        <v/>
      </c>
      <c r="C21">
        <f>IF(A21&lt;=Inputs!$B$12,1,0)</f>
        <v/>
      </c>
      <c r="D21" s="16">
        <f>Inputs!$B$8*(1+Inputs!$B$9)^A21</f>
        <v/>
      </c>
      <c r="E21" s="16">
        <f>Inputs!$B$10*D21</f>
        <v/>
      </c>
      <c r="F21" s="16">
        <f>$F$3</f>
        <v/>
      </c>
      <c r="G21" s="16">
        <f>SUMPRODUCT((Inputs!$D$20:$D$31&lt;=A21)*(Inputs!$D$20:$D$31&lt;&gt;"")*Inputs!$B$20:$B$31*Inputs!$C$20:$C$31)</f>
        <v/>
      </c>
      <c r="H21" s="16">
        <f>SUMPRODUCT((Inputs!$C$35:$C$42&lt;=A21)*(Inputs!$C$35:$C$42&lt;&gt;"")*Inputs!$B$35:$B$42)</f>
        <v/>
      </c>
      <c r="I21" s="16">
        <f>E21+F21+G21+H21</f>
        <v/>
      </c>
      <c r="J21" s="16">
        <f>I21-D21</f>
        <v/>
      </c>
      <c r="K21" s="16">
        <f>K20+J21</f>
        <v/>
      </c>
      <c r="L21" s="16">
        <f>L20-J21</f>
        <v/>
      </c>
      <c r="M21">
        <f>Inputs!$B$11+SUMPRODUCT((Inputs!$D$20:$D$31&lt;=A21)*(Inputs!$D$20:$D$31&lt;&gt;"")*Inputs!$B$20:$B$31)</f>
        <v/>
      </c>
      <c r="N21" s="16">
        <f>IF(C21=1,K21,0)</f>
        <v/>
      </c>
    </row>
    <row r="22">
      <c r="A22" t="n">
        <v>17</v>
      </c>
      <c r="B22" s="21">
        <f>EDATE(Inputs!$B$5,A22-1)</f>
        <v/>
      </c>
      <c r="C22">
        <f>IF(A22&lt;=Inputs!$B$12,1,0)</f>
        <v/>
      </c>
      <c r="D22" s="16">
        <f>Inputs!$B$8*(1+Inputs!$B$9)^A22</f>
        <v/>
      </c>
      <c r="E22" s="16">
        <f>Inputs!$B$10*D22</f>
        <v/>
      </c>
      <c r="F22" s="16">
        <f>$F$3</f>
        <v/>
      </c>
      <c r="G22" s="16">
        <f>SUMPRODUCT((Inputs!$D$20:$D$31&lt;=A22)*(Inputs!$D$20:$D$31&lt;&gt;"")*Inputs!$B$20:$B$31*Inputs!$C$20:$C$31)</f>
        <v/>
      </c>
      <c r="H22" s="16">
        <f>SUMPRODUCT((Inputs!$C$35:$C$42&lt;=A22)*(Inputs!$C$35:$C$42&lt;&gt;"")*Inputs!$B$35:$B$42)</f>
        <v/>
      </c>
      <c r="I22" s="16">
        <f>E22+F22+G22+H22</f>
        <v/>
      </c>
      <c r="J22" s="16">
        <f>I22-D22</f>
        <v/>
      </c>
      <c r="K22" s="16">
        <f>K21+J22</f>
        <v/>
      </c>
      <c r="L22" s="16">
        <f>L21-J22</f>
        <v/>
      </c>
      <c r="M22">
        <f>Inputs!$B$11+SUMPRODUCT((Inputs!$D$20:$D$31&lt;=A22)*(Inputs!$D$20:$D$31&lt;&gt;"")*Inputs!$B$20:$B$31)</f>
        <v/>
      </c>
      <c r="N22" s="16">
        <f>IF(C22=1,K22,0)</f>
        <v/>
      </c>
    </row>
    <row r="23">
      <c r="A23" t="n">
        <v>18</v>
      </c>
      <c r="B23" s="21">
        <f>EDATE(Inputs!$B$5,A23-1)</f>
        <v/>
      </c>
      <c r="C23">
        <f>IF(A23&lt;=Inputs!$B$12,1,0)</f>
        <v/>
      </c>
      <c r="D23" s="16">
        <f>Inputs!$B$8*(1+Inputs!$B$9)^A23</f>
        <v/>
      </c>
      <c r="E23" s="16">
        <f>Inputs!$B$10*D23</f>
        <v/>
      </c>
      <c r="F23" s="16">
        <f>$F$3</f>
        <v/>
      </c>
      <c r="G23" s="16">
        <f>SUMPRODUCT((Inputs!$D$20:$D$31&lt;=A23)*(Inputs!$D$20:$D$31&lt;&gt;"")*Inputs!$B$20:$B$31*Inputs!$C$20:$C$31)</f>
        <v/>
      </c>
      <c r="H23" s="16">
        <f>SUMPRODUCT((Inputs!$C$35:$C$42&lt;=A23)*(Inputs!$C$35:$C$42&lt;&gt;"")*Inputs!$B$35:$B$42)</f>
        <v/>
      </c>
      <c r="I23" s="16">
        <f>E23+F23+G23+H23</f>
        <v/>
      </c>
      <c r="J23" s="16">
        <f>I23-D23</f>
        <v/>
      </c>
      <c r="K23" s="16">
        <f>K22+J23</f>
        <v/>
      </c>
      <c r="L23" s="16">
        <f>L22-J23</f>
        <v/>
      </c>
      <c r="M23">
        <f>Inputs!$B$11+SUMPRODUCT((Inputs!$D$20:$D$31&lt;=A23)*(Inputs!$D$20:$D$31&lt;&gt;"")*Inputs!$B$20:$B$31)</f>
        <v/>
      </c>
      <c r="N23" s="16">
        <f>IF(C23=1,K23,0)</f>
        <v/>
      </c>
    </row>
    <row r="24">
      <c r="A24" t="n">
        <v>19</v>
      </c>
      <c r="B24" s="21">
        <f>EDATE(Inputs!$B$5,A24-1)</f>
        <v/>
      </c>
      <c r="C24">
        <f>IF(A24&lt;=Inputs!$B$12,1,0)</f>
        <v/>
      </c>
      <c r="D24" s="16">
        <f>Inputs!$B$8*(1+Inputs!$B$9)^A24</f>
        <v/>
      </c>
      <c r="E24" s="16">
        <f>Inputs!$B$10*D24</f>
        <v/>
      </c>
      <c r="F24" s="16">
        <f>$F$3</f>
        <v/>
      </c>
      <c r="G24" s="16">
        <f>SUMPRODUCT((Inputs!$D$20:$D$31&lt;=A24)*(Inputs!$D$20:$D$31&lt;&gt;"")*Inputs!$B$20:$B$31*Inputs!$C$20:$C$31)</f>
        <v/>
      </c>
      <c r="H24" s="16">
        <f>SUMPRODUCT((Inputs!$C$35:$C$42&lt;=A24)*(Inputs!$C$35:$C$42&lt;&gt;"")*Inputs!$B$35:$B$42)</f>
        <v/>
      </c>
      <c r="I24" s="16">
        <f>E24+F24+G24+H24</f>
        <v/>
      </c>
      <c r="J24" s="16">
        <f>I24-D24</f>
        <v/>
      </c>
      <c r="K24" s="16">
        <f>K23+J24</f>
        <v/>
      </c>
      <c r="L24" s="16">
        <f>L23-J24</f>
        <v/>
      </c>
      <c r="M24">
        <f>Inputs!$B$11+SUMPRODUCT((Inputs!$D$20:$D$31&lt;=A24)*(Inputs!$D$20:$D$31&lt;&gt;"")*Inputs!$B$20:$B$31)</f>
        <v/>
      </c>
      <c r="N24" s="16">
        <f>IF(C24=1,K24,0)</f>
        <v/>
      </c>
    </row>
    <row r="25">
      <c r="A25" t="n">
        <v>20</v>
      </c>
      <c r="B25" s="21">
        <f>EDATE(Inputs!$B$5,A25-1)</f>
        <v/>
      </c>
      <c r="C25">
        <f>IF(A25&lt;=Inputs!$B$12,1,0)</f>
        <v/>
      </c>
      <c r="D25" s="16">
        <f>Inputs!$B$8*(1+Inputs!$B$9)^A25</f>
        <v/>
      </c>
      <c r="E25" s="16">
        <f>Inputs!$B$10*D25</f>
        <v/>
      </c>
      <c r="F25" s="16">
        <f>$F$3</f>
        <v/>
      </c>
      <c r="G25" s="16">
        <f>SUMPRODUCT((Inputs!$D$20:$D$31&lt;=A25)*(Inputs!$D$20:$D$31&lt;&gt;"")*Inputs!$B$20:$B$31*Inputs!$C$20:$C$31)</f>
        <v/>
      </c>
      <c r="H25" s="16">
        <f>SUMPRODUCT((Inputs!$C$35:$C$42&lt;=A25)*(Inputs!$C$35:$C$42&lt;&gt;"")*Inputs!$B$35:$B$42)</f>
        <v/>
      </c>
      <c r="I25" s="16">
        <f>E25+F25+G25+H25</f>
        <v/>
      </c>
      <c r="J25" s="16">
        <f>I25-D25</f>
        <v/>
      </c>
      <c r="K25" s="16">
        <f>K24+J25</f>
        <v/>
      </c>
      <c r="L25" s="16">
        <f>L24-J25</f>
        <v/>
      </c>
      <c r="M25">
        <f>Inputs!$B$11+SUMPRODUCT((Inputs!$D$20:$D$31&lt;=A25)*(Inputs!$D$20:$D$31&lt;&gt;"")*Inputs!$B$20:$B$31)</f>
        <v/>
      </c>
      <c r="N25" s="16">
        <f>IF(C25=1,K25,0)</f>
        <v/>
      </c>
    </row>
    <row r="26">
      <c r="A26" t="n">
        <v>21</v>
      </c>
      <c r="B26" s="21">
        <f>EDATE(Inputs!$B$5,A26-1)</f>
        <v/>
      </c>
      <c r="C26">
        <f>IF(A26&lt;=Inputs!$B$12,1,0)</f>
        <v/>
      </c>
      <c r="D26" s="16">
        <f>Inputs!$B$8*(1+Inputs!$B$9)^A26</f>
        <v/>
      </c>
      <c r="E26" s="16">
        <f>Inputs!$B$10*D26</f>
        <v/>
      </c>
      <c r="F26" s="16">
        <f>$F$3</f>
        <v/>
      </c>
      <c r="G26" s="16">
        <f>SUMPRODUCT((Inputs!$D$20:$D$31&lt;=A26)*(Inputs!$D$20:$D$31&lt;&gt;"")*Inputs!$B$20:$B$31*Inputs!$C$20:$C$31)</f>
        <v/>
      </c>
      <c r="H26" s="16">
        <f>SUMPRODUCT((Inputs!$C$35:$C$42&lt;=A26)*(Inputs!$C$35:$C$42&lt;&gt;"")*Inputs!$B$35:$B$42)</f>
        <v/>
      </c>
      <c r="I26" s="16">
        <f>E26+F26+G26+H26</f>
        <v/>
      </c>
      <c r="J26" s="16">
        <f>I26-D26</f>
        <v/>
      </c>
      <c r="K26" s="16">
        <f>K25+J26</f>
        <v/>
      </c>
      <c r="L26" s="16">
        <f>L25-J26</f>
        <v/>
      </c>
      <c r="M26">
        <f>Inputs!$B$11+SUMPRODUCT((Inputs!$D$20:$D$31&lt;=A26)*(Inputs!$D$20:$D$31&lt;&gt;"")*Inputs!$B$20:$B$31)</f>
        <v/>
      </c>
      <c r="N26" s="16">
        <f>IF(C26=1,K26,0)</f>
        <v/>
      </c>
    </row>
    <row r="27">
      <c r="A27" t="n">
        <v>22</v>
      </c>
      <c r="B27" s="21">
        <f>EDATE(Inputs!$B$5,A27-1)</f>
        <v/>
      </c>
      <c r="C27">
        <f>IF(A27&lt;=Inputs!$B$12,1,0)</f>
        <v/>
      </c>
      <c r="D27" s="16">
        <f>Inputs!$B$8*(1+Inputs!$B$9)^A27</f>
        <v/>
      </c>
      <c r="E27" s="16">
        <f>Inputs!$B$10*D27</f>
        <v/>
      </c>
      <c r="F27" s="16">
        <f>$F$3</f>
        <v/>
      </c>
      <c r="G27" s="16">
        <f>SUMPRODUCT((Inputs!$D$20:$D$31&lt;=A27)*(Inputs!$D$20:$D$31&lt;&gt;"")*Inputs!$B$20:$B$31*Inputs!$C$20:$C$31)</f>
        <v/>
      </c>
      <c r="H27" s="16">
        <f>SUMPRODUCT((Inputs!$C$35:$C$42&lt;=A27)*(Inputs!$C$35:$C$42&lt;&gt;"")*Inputs!$B$35:$B$42)</f>
        <v/>
      </c>
      <c r="I27" s="16">
        <f>E27+F27+G27+H27</f>
        <v/>
      </c>
      <c r="J27" s="16">
        <f>I27-D27</f>
        <v/>
      </c>
      <c r="K27" s="16">
        <f>K26+J27</f>
        <v/>
      </c>
      <c r="L27" s="16">
        <f>L26-J27</f>
        <v/>
      </c>
      <c r="M27">
        <f>Inputs!$B$11+SUMPRODUCT((Inputs!$D$20:$D$31&lt;=A27)*(Inputs!$D$20:$D$31&lt;&gt;"")*Inputs!$B$20:$B$31)</f>
        <v/>
      </c>
      <c r="N27" s="16">
        <f>IF(C27=1,K27,0)</f>
        <v/>
      </c>
    </row>
    <row r="28">
      <c r="A28" t="n">
        <v>23</v>
      </c>
      <c r="B28" s="21">
        <f>EDATE(Inputs!$B$5,A28-1)</f>
        <v/>
      </c>
      <c r="C28">
        <f>IF(A28&lt;=Inputs!$B$12,1,0)</f>
        <v/>
      </c>
      <c r="D28" s="16">
        <f>Inputs!$B$8*(1+Inputs!$B$9)^A28</f>
        <v/>
      </c>
      <c r="E28" s="16">
        <f>Inputs!$B$10*D28</f>
        <v/>
      </c>
      <c r="F28" s="16">
        <f>$F$3</f>
        <v/>
      </c>
      <c r="G28" s="16">
        <f>SUMPRODUCT((Inputs!$D$20:$D$31&lt;=A28)*(Inputs!$D$20:$D$31&lt;&gt;"")*Inputs!$B$20:$B$31*Inputs!$C$20:$C$31)</f>
        <v/>
      </c>
      <c r="H28" s="16">
        <f>SUMPRODUCT((Inputs!$C$35:$C$42&lt;=A28)*(Inputs!$C$35:$C$42&lt;&gt;"")*Inputs!$B$35:$B$42)</f>
        <v/>
      </c>
      <c r="I28" s="16">
        <f>E28+F28+G28+H28</f>
        <v/>
      </c>
      <c r="J28" s="16">
        <f>I28-D28</f>
        <v/>
      </c>
      <c r="K28" s="16">
        <f>K27+J28</f>
        <v/>
      </c>
      <c r="L28" s="16">
        <f>L27-J28</f>
        <v/>
      </c>
      <c r="M28">
        <f>Inputs!$B$11+SUMPRODUCT((Inputs!$D$20:$D$31&lt;=A28)*(Inputs!$D$20:$D$31&lt;&gt;"")*Inputs!$B$20:$B$31)</f>
        <v/>
      </c>
      <c r="N28" s="16">
        <f>IF(C28=1,K28,0)</f>
        <v/>
      </c>
    </row>
    <row r="29">
      <c r="A29" t="n">
        <v>24</v>
      </c>
      <c r="B29" s="21">
        <f>EDATE(Inputs!$B$5,A29-1)</f>
        <v/>
      </c>
      <c r="C29">
        <f>IF(A29&lt;=Inputs!$B$12,1,0)</f>
        <v/>
      </c>
      <c r="D29" s="16">
        <f>Inputs!$B$8*(1+Inputs!$B$9)^A29</f>
        <v/>
      </c>
      <c r="E29" s="16">
        <f>Inputs!$B$10*D29</f>
        <v/>
      </c>
      <c r="F29" s="16">
        <f>$F$3</f>
        <v/>
      </c>
      <c r="G29" s="16">
        <f>SUMPRODUCT((Inputs!$D$20:$D$31&lt;=A29)*(Inputs!$D$20:$D$31&lt;&gt;"")*Inputs!$B$20:$B$31*Inputs!$C$20:$C$31)</f>
        <v/>
      </c>
      <c r="H29" s="16">
        <f>SUMPRODUCT((Inputs!$C$35:$C$42&lt;=A29)*(Inputs!$C$35:$C$42&lt;&gt;"")*Inputs!$B$35:$B$42)</f>
        <v/>
      </c>
      <c r="I29" s="16">
        <f>E29+F29+G29+H29</f>
        <v/>
      </c>
      <c r="J29" s="16">
        <f>I29-D29</f>
        <v/>
      </c>
      <c r="K29" s="16">
        <f>K28+J29</f>
        <v/>
      </c>
      <c r="L29" s="16">
        <f>L28-J29</f>
        <v/>
      </c>
      <c r="M29">
        <f>Inputs!$B$11+SUMPRODUCT((Inputs!$D$20:$D$31&lt;=A29)*(Inputs!$D$20:$D$31&lt;&gt;"")*Inputs!$B$20:$B$31)</f>
        <v/>
      </c>
      <c r="N29" s="16">
        <f>IF(C29=1,K29,0)</f>
        <v/>
      </c>
    </row>
    <row r="30">
      <c r="A30" t="n">
        <v>25</v>
      </c>
      <c r="B30" s="21">
        <f>EDATE(Inputs!$B$5,A30-1)</f>
        <v/>
      </c>
      <c r="C30">
        <f>IF(A30&lt;=Inputs!$B$12,1,0)</f>
        <v/>
      </c>
      <c r="D30" s="16">
        <f>Inputs!$B$8*(1+Inputs!$B$9)^A30</f>
        <v/>
      </c>
      <c r="E30" s="16">
        <f>Inputs!$B$10*D30</f>
        <v/>
      </c>
      <c r="F30" s="16">
        <f>$F$3</f>
        <v/>
      </c>
      <c r="G30" s="16">
        <f>SUMPRODUCT((Inputs!$D$20:$D$31&lt;=A30)*(Inputs!$D$20:$D$31&lt;&gt;"")*Inputs!$B$20:$B$31*Inputs!$C$20:$C$31)</f>
        <v/>
      </c>
      <c r="H30" s="16">
        <f>SUMPRODUCT((Inputs!$C$35:$C$42&lt;=A30)*(Inputs!$C$35:$C$42&lt;&gt;"")*Inputs!$B$35:$B$42)</f>
        <v/>
      </c>
      <c r="I30" s="16">
        <f>E30+F30+G30+H30</f>
        <v/>
      </c>
      <c r="J30" s="16">
        <f>I30-D30</f>
        <v/>
      </c>
      <c r="K30" s="16">
        <f>K29+J30</f>
        <v/>
      </c>
      <c r="L30" s="16">
        <f>L29-J30</f>
        <v/>
      </c>
      <c r="M30">
        <f>Inputs!$B$11+SUMPRODUCT((Inputs!$D$20:$D$31&lt;=A30)*(Inputs!$D$20:$D$31&lt;&gt;"")*Inputs!$B$20:$B$31)</f>
        <v/>
      </c>
      <c r="N30" s="16">
        <f>IF(C30=1,K30,0)</f>
        <v/>
      </c>
    </row>
    <row r="31">
      <c r="A31" t="n">
        <v>26</v>
      </c>
      <c r="B31" s="21">
        <f>EDATE(Inputs!$B$5,A31-1)</f>
        <v/>
      </c>
      <c r="C31">
        <f>IF(A31&lt;=Inputs!$B$12,1,0)</f>
        <v/>
      </c>
      <c r="D31" s="16">
        <f>Inputs!$B$8*(1+Inputs!$B$9)^A31</f>
        <v/>
      </c>
      <c r="E31" s="16">
        <f>Inputs!$B$10*D31</f>
        <v/>
      </c>
      <c r="F31" s="16">
        <f>$F$3</f>
        <v/>
      </c>
      <c r="G31" s="16">
        <f>SUMPRODUCT((Inputs!$D$20:$D$31&lt;=A31)*(Inputs!$D$20:$D$31&lt;&gt;"")*Inputs!$B$20:$B$31*Inputs!$C$20:$C$31)</f>
        <v/>
      </c>
      <c r="H31" s="16">
        <f>SUMPRODUCT((Inputs!$C$35:$C$42&lt;=A31)*(Inputs!$C$35:$C$42&lt;&gt;"")*Inputs!$B$35:$B$42)</f>
        <v/>
      </c>
      <c r="I31" s="16">
        <f>E31+F31+G31+H31</f>
        <v/>
      </c>
      <c r="J31" s="16">
        <f>I31-D31</f>
        <v/>
      </c>
      <c r="K31" s="16">
        <f>K30+J31</f>
        <v/>
      </c>
      <c r="L31" s="16">
        <f>L30-J31</f>
        <v/>
      </c>
      <c r="M31">
        <f>Inputs!$B$11+SUMPRODUCT((Inputs!$D$20:$D$31&lt;=A31)*(Inputs!$D$20:$D$31&lt;&gt;"")*Inputs!$B$20:$B$31)</f>
        <v/>
      </c>
      <c r="N31" s="16">
        <f>IF(C31=1,K31,0)</f>
        <v/>
      </c>
    </row>
    <row r="32">
      <c r="A32" t="n">
        <v>27</v>
      </c>
      <c r="B32" s="21">
        <f>EDATE(Inputs!$B$5,A32-1)</f>
        <v/>
      </c>
      <c r="C32">
        <f>IF(A32&lt;=Inputs!$B$12,1,0)</f>
        <v/>
      </c>
      <c r="D32" s="16">
        <f>Inputs!$B$8*(1+Inputs!$B$9)^A32</f>
        <v/>
      </c>
      <c r="E32" s="16">
        <f>Inputs!$B$10*D32</f>
        <v/>
      </c>
      <c r="F32" s="16">
        <f>$F$3</f>
        <v/>
      </c>
      <c r="G32" s="16">
        <f>SUMPRODUCT((Inputs!$D$20:$D$31&lt;=A32)*(Inputs!$D$20:$D$31&lt;&gt;"")*Inputs!$B$20:$B$31*Inputs!$C$20:$C$31)</f>
        <v/>
      </c>
      <c r="H32" s="16">
        <f>SUMPRODUCT((Inputs!$C$35:$C$42&lt;=A32)*(Inputs!$C$35:$C$42&lt;&gt;"")*Inputs!$B$35:$B$42)</f>
        <v/>
      </c>
      <c r="I32" s="16">
        <f>E32+F32+G32+H32</f>
        <v/>
      </c>
      <c r="J32" s="16">
        <f>I32-D32</f>
        <v/>
      </c>
      <c r="K32" s="16">
        <f>K31+J32</f>
        <v/>
      </c>
      <c r="L32" s="16">
        <f>L31-J32</f>
        <v/>
      </c>
      <c r="M32">
        <f>Inputs!$B$11+SUMPRODUCT((Inputs!$D$20:$D$31&lt;=A32)*(Inputs!$D$20:$D$31&lt;&gt;"")*Inputs!$B$20:$B$31)</f>
        <v/>
      </c>
      <c r="N32" s="16">
        <f>IF(C32=1,K32,0)</f>
        <v/>
      </c>
    </row>
    <row r="33">
      <c r="A33" t="n">
        <v>28</v>
      </c>
      <c r="B33" s="21">
        <f>EDATE(Inputs!$B$5,A33-1)</f>
        <v/>
      </c>
      <c r="C33">
        <f>IF(A33&lt;=Inputs!$B$12,1,0)</f>
        <v/>
      </c>
      <c r="D33" s="16">
        <f>Inputs!$B$8*(1+Inputs!$B$9)^A33</f>
        <v/>
      </c>
      <c r="E33" s="16">
        <f>Inputs!$B$10*D33</f>
        <v/>
      </c>
      <c r="F33" s="16">
        <f>$F$3</f>
        <v/>
      </c>
      <c r="G33" s="16">
        <f>SUMPRODUCT((Inputs!$D$20:$D$31&lt;=A33)*(Inputs!$D$20:$D$31&lt;&gt;"")*Inputs!$B$20:$B$31*Inputs!$C$20:$C$31)</f>
        <v/>
      </c>
      <c r="H33" s="16">
        <f>SUMPRODUCT((Inputs!$C$35:$C$42&lt;=A33)*(Inputs!$C$35:$C$42&lt;&gt;"")*Inputs!$B$35:$B$42)</f>
        <v/>
      </c>
      <c r="I33" s="16">
        <f>E33+F33+G33+H33</f>
        <v/>
      </c>
      <c r="J33" s="16">
        <f>I33-D33</f>
        <v/>
      </c>
      <c r="K33" s="16">
        <f>K32+J33</f>
        <v/>
      </c>
      <c r="L33" s="16">
        <f>L32-J33</f>
        <v/>
      </c>
      <c r="M33">
        <f>Inputs!$B$11+SUMPRODUCT((Inputs!$D$20:$D$31&lt;=A33)*(Inputs!$D$20:$D$31&lt;&gt;"")*Inputs!$B$20:$B$31)</f>
        <v/>
      </c>
      <c r="N33" s="16">
        <f>IF(C33=1,K33,0)</f>
        <v/>
      </c>
    </row>
    <row r="34">
      <c r="A34" t="n">
        <v>29</v>
      </c>
      <c r="B34" s="21">
        <f>EDATE(Inputs!$B$5,A34-1)</f>
        <v/>
      </c>
      <c r="C34">
        <f>IF(A34&lt;=Inputs!$B$12,1,0)</f>
        <v/>
      </c>
      <c r="D34" s="16">
        <f>Inputs!$B$8*(1+Inputs!$B$9)^A34</f>
        <v/>
      </c>
      <c r="E34" s="16">
        <f>Inputs!$B$10*D34</f>
        <v/>
      </c>
      <c r="F34" s="16">
        <f>$F$3</f>
        <v/>
      </c>
      <c r="G34" s="16">
        <f>SUMPRODUCT((Inputs!$D$20:$D$31&lt;=A34)*(Inputs!$D$20:$D$31&lt;&gt;"")*Inputs!$B$20:$B$31*Inputs!$C$20:$C$31)</f>
        <v/>
      </c>
      <c r="H34" s="16">
        <f>SUMPRODUCT((Inputs!$C$35:$C$42&lt;=A34)*(Inputs!$C$35:$C$42&lt;&gt;"")*Inputs!$B$35:$B$42)</f>
        <v/>
      </c>
      <c r="I34" s="16">
        <f>E34+F34+G34+H34</f>
        <v/>
      </c>
      <c r="J34" s="16">
        <f>I34-D34</f>
        <v/>
      </c>
      <c r="K34" s="16">
        <f>K33+J34</f>
        <v/>
      </c>
      <c r="L34" s="16">
        <f>L33-J34</f>
        <v/>
      </c>
      <c r="M34">
        <f>Inputs!$B$11+SUMPRODUCT((Inputs!$D$20:$D$31&lt;=A34)*(Inputs!$D$20:$D$31&lt;&gt;"")*Inputs!$B$20:$B$31)</f>
        <v/>
      </c>
      <c r="N34" s="16">
        <f>IF(C34=1,K34,0)</f>
        <v/>
      </c>
    </row>
    <row r="35">
      <c r="A35" t="n">
        <v>30</v>
      </c>
      <c r="B35" s="21">
        <f>EDATE(Inputs!$B$5,A35-1)</f>
        <v/>
      </c>
      <c r="C35">
        <f>IF(A35&lt;=Inputs!$B$12,1,0)</f>
        <v/>
      </c>
      <c r="D35" s="16">
        <f>Inputs!$B$8*(1+Inputs!$B$9)^A35</f>
        <v/>
      </c>
      <c r="E35" s="16">
        <f>Inputs!$B$10*D35</f>
        <v/>
      </c>
      <c r="F35" s="16">
        <f>$F$3</f>
        <v/>
      </c>
      <c r="G35" s="16">
        <f>SUMPRODUCT((Inputs!$D$20:$D$31&lt;=A35)*(Inputs!$D$20:$D$31&lt;&gt;"")*Inputs!$B$20:$B$31*Inputs!$C$20:$C$31)</f>
        <v/>
      </c>
      <c r="H35" s="16">
        <f>SUMPRODUCT((Inputs!$C$35:$C$42&lt;=A35)*(Inputs!$C$35:$C$42&lt;&gt;"")*Inputs!$B$35:$B$42)</f>
        <v/>
      </c>
      <c r="I35" s="16">
        <f>E35+F35+G35+H35</f>
        <v/>
      </c>
      <c r="J35" s="16">
        <f>I35-D35</f>
        <v/>
      </c>
      <c r="K35" s="16">
        <f>K34+J35</f>
        <v/>
      </c>
      <c r="L35" s="16">
        <f>L34-J35</f>
        <v/>
      </c>
      <c r="M35">
        <f>Inputs!$B$11+SUMPRODUCT((Inputs!$D$20:$D$31&lt;=A35)*(Inputs!$D$20:$D$31&lt;&gt;"")*Inputs!$B$20:$B$31)</f>
        <v/>
      </c>
      <c r="N35" s="16">
        <f>IF(C35=1,K35,0)</f>
        <v/>
      </c>
    </row>
    <row r="36">
      <c r="A36" t="n">
        <v>31</v>
      </c>
      <c r="B36" s="21">
        <f>EDATE(Inputs!$B$5,A36-1)</f>
        <v/>
      </c>
      <c r="C36">
        <f>IF(A36&lt;=Inputs!$B$12,1,0)</f>
        <v/>
      </c>
      <c r="D36" s="16">
        <f>Inputs!$B$8*(1+Inputs!$B$9)^A36</f>
        <v/>
      </c>
      <c r="E36" s="16">
        <f>Inputs!$B$10*D36</f>
        <v/>
      </c>
      <c r="F36" s="16">
        <f>$F$3</f>
        <v/>
      </c>
      <c r="G36" s="16">
        <f>SUMPRODUCT((Inputs!$D$20:$D$31&lt;=A36)*(Inputs!$D$20:$D$31&lt;&gt;"")*Inputs!$B$20:$B$31*Inputs!$C$20:$C$31)</f>
        <v/>
      </c>
      <c r="H36" s="16">
        <f>SUMPRODUCT((Inputs!$C$35:$C$42&lt;=A36)*(Inputs!$C$35:$C$42&lt;&gt;"")*Inputs!$B$35:$B$42)</f>
        <v/>
      </c>
      <c r="I36" s="16">
        <f>E36+F36+G36+H36</f>
        <v/>
      </c>
      <c r="J36" s="16">
        <f>I36-D36</f>
        <v/>
      </c>
      <c r="K36" s="16">
        <f>K35+J36</f>
        <v/>
      </c>
      <c r="L36" s="16">
        <f>L35-J36</f>
        <v/>
      </c>
      <c r="M36">
        <f>Inputs!$B$11+SUMPRODUCT((Inputs!$D$20:$D$31&lt;=A36)*(Inputs!$D$20:$D$31&lt;&gt;"")*Inputs!$B$20:$B$31)</f>
        <v/>
      </c>
      <c r="N36" s="16">
        <f>IF(C36=1,K36,0)</f>
        <v/>
      </c>
    </row>
    <row r="37">
      <c r="A37" t="n">
        <v>32</v>
      </c>
      <c r="B37" s="21">
        <f>EDATE(Inputs!$B$5,A37-1)</f>
        <v/>
      </c>
      <c r="C37">
        <f>IF(A37&lt;=Inputs!$B$12,1,0)</f>
        <v/>
      </c>
      <c r="D37" s="16">
        <f>Inputs!$B$8*(1+Inputs!$B$9)^A37</f>
        <v/>
      </c>
      <c r="E37" s="16">
        <f>Inputs!$B$10*D37</f>
        <v/>
      </c>
      <c r="F37" s="16">
        <f>$F$3</f>
        <v/>
      </c>
      <c r="G37" s="16">
        <f>SUMPRODUCT((Inputs!$D$20:$D$31&lt;=A37)*(Inputs!$D$20:$D$31&lt;&gt;"")*Inputs!$B$20:$B$31*Inputs!$C$20:$C$31)</f>
        <v/>
      </c>
      <c r="H37" s="16">
        <f>SUMPRODUCT((Inputs!$C$35:$C$42&lt;=A37)*(Inputs!$C$35:$C$42&lt;&gt;"")*Inputs!$B$35:$B$42)</f>
        <v/>
      </c>
      <c r="I37" s="16">
        <f>E37+F37+G37+H37</f>
        <v/>
      </c>
      <c r="J37" s="16">
        <f>I37-D37</f>
        <v/>
      </c>
      <c r="K37" s="16">
        <f>K36+J37</f>
        <v/>
      </c>
      <c r="L37" s="16">
        <f>L36-J37</f>
        <v/>
      </c>
      <c r="M37">
        <f>Inputs!$B$11+SUMPRODUCT((Inputs!$D$20:$D$31&lt;=A37)*(Inputs!$D$20:$D$31&lt;&gt;"")*Inputs!$B$20:$B$31)</f>
        <v/>
      </c>
      <c r="N37" s="16">
        <f>IF(C37=1,K37,0)</f>
        <v/>
      </c>
    </row>
    <row r="38">
      <c r="A38" t="n">
        <v>33</v>
      </c>
      <c r="B38" s="21">
        <f>EDATE(Inputs!$B$5,A38-1)</f>
        <v/>
      </c>
      <c r="C38">
        <f>IF(A38&lt;=Inputs!$B$12,1,0)</f>
        <v/>
      </c>
      <c r="D38" s="16">
        <f>Inputs!$B$8*(1+Inputs!$B$9)^A38</f>
        <v/>
      </c>
      <c r="E38" s="16">
        <f>Inputs!$B$10*D38</f>
        <v/>
      </c>
      <c r="F38" s="16">
        <f>$F$3</f>
        <v/>
      </c>
      <c r="G38" s="16">
        <f>SUMPRODUCT((Inputs!$D$20:$D$31&lt;=A38)*(Inputs!$D$20:$D$31&lt;&gt;"")*Inputs!$B$20:$B$31*Inputs!$C$20:$C$31)</f>
        <v/>
      </c>
      <c r="H38" s="16">
        <f>SUMPRODUCT((Inputs!$C$35:$C$42&lt;=A38)*(Inputs!$C$35:$C$42&lt;&gt;"")*Inputs!$B$35:$B$42)</f>
        <v/>
      </c>
      <c r="I38" s="16">
        <f>E38+F38+G38+H38</f>
        <v/>
      </c>
      <c r="J38" s="16">
        <f>I38-D38</f>
        <v/>
      </c>
      <c r="K38" s="16">
        <f>K37+J38</f>
        <v/>
      </c>
      <c r="L38" s="16">
        <f>L37-J38</f>
        <v/>
      </c>
      <c r="M38">
        <f>Inputs!$B$11+SUMPRODUCT((Inputs!$D$20:$D$31&lt;=A38)*(Inputs!$D$20:$D$31&lt;&gt;"")*Inputs!$B$20:$B$31)</f>
        <v/>
      </c>
      <c r="N38" s="16">
        <f>IF(C38=1,K38,0)</f>
        <v/>
      </c>
    </row>
    <row r="39">
      <c r="A39" t="n">
        <v>34</v>
      </c>
      <c r="B39" s="21">
        <f>EDATE(Inputs!$B$5,A39-1)</f>
        <v/>
      </c>
      <c r="C39">
        <f>IF(A39&lt;=Inputs!$B$12,1,0)</f>
        <v/>
      </c>
      <c r="D39" s="16">
        <f>Inputs!$B$8*(1+Inputs!$B$9)^A39</f>
        <v/>
      </c>
      <c r="E39" s="16">
        <f>Inputs!$B$10*D39</f>
        <v/>
      </c>
      <c r="F39" s="16">
        <f>$F$3</f>
        <v/>
      </c>
      <c r="G39" s="16">
        <f>SUMPRODUCT((Inputs!$D$20:$D$31&lt;=A39)*(Inputs!$D$20:$D$31&lt;&gt;"")*Inputs!$B$20:$B$31*Inputs!$C$20:$C$31)</f>
        <v/>
      </c>
      <c r="H39" s="16">
        <f>SUMPRODUCT((Inputs!$C$35:$C$42&lt;=A39)*(Inputs!$C$35:$C$42&lt;&gt;"")*Inputs!$B$35:$B$42)</f>
        <v/>
      </c>
      <c r="I39" s="16">
        <f>E39+F39+G39+H39</f>
        <v/>
      </c>
      <c r="J39" s="16">
        <f>I39-D39</f>
        <v/>
      </c>
      <c r="K39" s="16">
        <f>K38+J39</f>
        <v/>
      </c>
      <c r="L39" s="16">
        <f>L38-J39</f>
        <v/>
      </c>
      <c r="M39">
        <f>Inputs!$B$11+SUMPRODUCT((Inputs!$D$20:$D$31&lt;=A39)*(Inputs!$D$20:$D$31&lt;&gt;"")*Inputs!$B$20:$B$31)</f>
        <v/>
      </c>
      <c r="N39" s="16">
        <f>IF(C39=1,K39,0)</f>
        <v/>
      </c>
    </row>
    <row r="40">
      <c r="A40" t="n">
        <v>35</v>
      </c>
      <c r="B40" s="21">
        <f>EDATE(Inputs!$B$5,A40-1)</f>
        <v/>
      </c>
      <c r="C40">
        <f>IF(A40&lt;=Inputs!$B$12,1,0)</f>
        <v/>
      </c>
      <c r="D40" s="16">
        <f>Inputs!$B$8*(1+Inputs!$B$9)^A40</f>
        <v/>
      </c>
      <c r="E40" s="16">
        <f>Inputs!$B$10*D40</f>
        <v/>
      </c>
      <c r="F40" s="16">
        <f>$F$3</f>
        <v/>
      </c>
      <c r="G40" s="16">
        <f>SUMPRODUCT((Inputs!$D$20:$D$31&lt;=A40)*(Inputs!$D$20:$D$31&lt;&gt;"")*Inputs!$B$20:$B$31*Inputs!$C$20:$C$31)</f>
        <v/>
      </c>
      <c r="H40" s="16">
        <f>SUMPRODUCT((Inputs!$C$35:$C$42&lt;=A40)*(Inputs!$C$35:$C$42&lt;&gt;"")*Inputs!$B$35:$B$42)</f>
        <v/>
      </c>
      <c r="I40" s="16">
        <f>E40+F40+G40+H40</f>
        <v/>
      </c>
      <c r="J40" s="16">
        <f>I40-D40</f>
        <v/>
      </c>
      <c r="K40" s="16">
        <f>K39+J40</f>
        <v/>
      </c>
      <c r="L40" s="16">
        <f>L39-J40</f>
        <v/>
      </c>
      <c r="M40">
        <f>Inputs!$B$11+SUMPRODUCT((Inputs!$D$20:$D$31&lt;=A40)*(Inputs!$D$20:$D$31&lt;&gt;"")*Inputs!$B$20:$B$31)</f>
        <v/>
      </c>
      <c r="N40" s="16">
        <f>IF(C40=1,K40,0)</f>
        <v/>
      </c>
    </row>
    <row r="41">
      <c r="A41" t="n">
        <v>36</v>
      </c>
      <c r="B41" s="21">
        <f>EDATE(Inputs!$B$5,A41-1)</f>
        <v/>
      </c>
      <c r="C41">
        <f>IF(A41&lt;=Inputs!$B$12,1,0)</f>
        <v/>
      </c>
      <c r="D41" s="16">
        <f>Inputs!$B$8*(1+Inputs!$B$9)^A41</f>
        <v/>
      </c>
      <c r="E41" s="16">
        <f>Inputs!$B$10*D41</f>
        <v/>
      </c>
      <c r="F41" s="16">
        <f>$F$3</f>
        <v/>
      </c>
      <c r="G41" s="16">
        <f>SUMPRODUCT((Inputs!$D$20:$D$31&lt;=A41)*(Inputs!$D$20:$D$31&lt;&gt;"")*Inputs!$B$20:$B$31*Inputs!$C$20:$C$31)</f>
        <v/>
      </c>
      <c r="H41" s="16">
        <f>SUMPRODUCT((Inputs!$C$35:$C$42&lt;=A41)*(Inputs!$C$35:$C$42&lt;&gt;"")*Inputs!$B$35:$B$42)</f>
        <v/>
      </c>
      <c r="I41" s="16">
        <f>E41+F41+G41+H41</f>
        <v/>
      </c>
      <c r="J41" s="16">
        <f>I41-D41</f>
        <v/>
      </c>
      <c r="K41" s="16">
        <f>K40+J41</f>
        <v/>
      </c>
      <c r="L41" s="16">
        <f>L40-J41</f>
        <v/>
      </c>
      <c r="M41">
        <f>Inputs!$B$11+SUMPRODUCT((Inputs!$D$20:$D$31&lt;=A41)*(Inputs!$D$20:$D$31&lt;&gt;"")*Inputs!$B$20:$B$31)</f>
        <v/>
      </c>
      <c r="N41" s="16">
        <f>IF(C41=1,K41,0)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Free template by Adlega</t>
        </is>
      </c>
    </row>
    <row r="2">
      <c r="A2" s="23" t="inlineStr">
        <is>
          <t>Live calculator: https://adlega.com/blog/tools/how-much-to-raise/</t>
        </is>
      </c>
    </row>
    <row r="3">
      <c r="A3" s="23" t="inlineStr">
        <is>
          <t>Version: October 2026</t>
        </is>
      </c>
    </row>
    <row r="4">
      <c r="A4" s="23" t="inlineStr"/>
    </row>
    <row r="5">
      <c r="A5" s="23" t="inlineStr">
        <is>
          <t>This template is a planning aid, not advice. It is not tax, legal, accounting or investment advice; check the numbers with your own advisers before you act on them.</t>
        </is>
      </c>
    </row>
    <row r="6">
      <c r="A6" s="23" t="inlineStr">
        <is>
          <t>Blue cells on a light yellow background are inputs. Every other number is a live formula that mirrors the web calculator. Example inputs are illustrative.</t>
        </is>
      </c>
    </row>
    <row r="7">
      <c r="A7" s="23" t="inlineStr"/>
    </row>
    <row r="8">
      <c r="A8" s="23" t="inlineStr">
        <is>
          <t>Revenue in plan month m = MRR today x (1 + growth)^m. Spend = base opex (today's net burn + MRR - cost of revenue on today's MRR) + cost of revenue on revenue + hires from their start month + other changes from theirs.</t>
        </is>
      </c>
    </row>
    <row r="9">
      <c r="A9" s="23" t="inlineStr">
        <is>
          <t>Cash needed = the deepest point of cumulative net burn inside the runway target, plus the buffer. Raise = cash needed - cash on hand, rounded up to the next $50,000.</t>
        </is>
      </c>
    </row>
    <row r="10">
      <c r="A10" s="23" t="inlineStr">
        <is>
          <t>Runway it buys = runway target + cash left at the target month / that month's net burn. Use of funds: revenue and cash on hand pay for current operations first; the raise covers the rest.</t>
        </is>
      </c>
    </row>
    <row r="11">
      <c r="A11" s="23" t="inlineStr"/>
    </row>
    <row r="12">
      <c r="A12" s="23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How Much Should I Raise? Fundraising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2026-10-22T20:28:29Z</dcterms:modified>
  <cp:lastModifiedBy>Adlega</cp:lastModifiedBy>
</cp:coreProperties>
</file>