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increase" sheetId="1" state="visible" r:id="rId1"/>
    <sheet xmlns:r="http://schemas.openxmlformats.org/officeDocument/2006/relationships" name="Pricing model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&quot;$&quot;#,##0.00;-&quot;$&quot;#,##0.00"/>
    <numFmt numFmtId="165" formatCode="0.0%"/>
    <numFmt numFmtId="166" formatCode="&quot;$&quot;#,##0;-&quot;$&quot;#,##0"/>
    <numFmt numFmtId="167" formatCode="0.0000"/>
    <numFmt numFmtId="168" formatCode="0.0"/>
    <numFmt numFmtId="169" formatCode="0.000"/>
    <numFmt numFmtId="170" formatCode="&quot;$&quot;#,##0.000"/>
    <numFmt numFmtId="171" formatCode="#,##0.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" fontId="4" fillId="3" borderId="0" pivotButton="0" quotePrefix="0" xfId="0"/>
    <xf numFmtId="164" fontId="4" fillId="3" borderId="0" pivotButton="0" quotePrefix="0" xfId="0"/>
    <xf numFmtId="165" fontId="4" fillId="3" borderId="0" pivotButton="0" quotePrefix="0" xfId="0"/>
    <xf numFmtId="10" fontId="4" fillId="3" borderId="0" pivotButton="0" quotePrefix="0" xfId="0"/>
    <xf numFmtId="0" fontId="4" fillId="3" borderId="0" pivotButton="0" quotePrefix="0" xfId="0"/>
    <xf numFmtId="166" fontId="3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167" fontId="3" fillId="0" borderId="0" pivotButton="0" quotePrefix="0" xfId="0"/>
    <xf numFmtId="165" fontId="3" fillId="0" borderId="0" pivotButton="0" quotePrefix="0" xfId="0"/>
    <xf numFmtId="168" fontId="3" fillId="0" borderId="0" pivotButton="0" quotePrefix="0" xfId="0"/>
    <xf numFmtId="0" fontId="3" fillId="4" borderId="0" applyAlignment="1" pivotButton="0" quotePrefix="0" xfId="0">
      <alignment vertical="bottom" wrapText="1"/>
    </xf>
    <xf numFmtId="169" fontId="0" fillId="0" borderId="0" pivotButton="0" quotePrefix="0" xfId="0"/>
    <xf numFmtId="166" fontId="0" fillId="0" borderId="0" pivotButton="0" quotePrefix="0" xfId="0"/>
    <xf numFmtId="168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3" fontId="4" fillId="3" borderId="0" pivotButton="0" quotePrefix="0" xfId="0"/>
    <xf numFmtId="168" fontId="4" fillId="3" borderId="0" pivotButton="0" quotePrefix="0" xfId="0"/>
    <xf numFmtId="170" fontId="4" fillId="3" borderId="0" pivotButton="0" quotePrefix="0" xfId="0"/>
    <xf numFmtId="171" fontId="3" fillId="0" borderId="0" pivotButton="0" quotePrefix="0" xfId="0"/>
    <xf numFmtId="3" fontId="3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1"/>
  <sheetViews>
    <sheetView workbookViewId="0">
      <pane xSplit="1" ySplit="38" topLeftCell="B3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2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3" customWidth="1" min="16" max="16"/>
    <col width="13" customWidth="1" min="17" max="17"/>
    <col width="12" customWidth="1" min="18" max="18"/>
    <col width="14" customWidth="1" min="19" max="19"/>
    <col width="14" customWidth="1" min="20" max="20"/>
    <col width="12" customWidth="1" min="21" max="21"/>
  </cols>
  <sheetData>
    <row r="1">
      <c r="A1" s="1" t="inlineStr">
        <is>
          <t>SaaS Price Increase Calculator (12 months)</t>
        </is>
      </c>
    </row>
    <row r="2">
      <c r="A2" s="2" t="inlineStr">
        <is>
          <t>Change the blue cells on light yellow. Every other number is a live formula. Live version: https://adlega.com/blog/tools/price-increase/</t>
        </is>
      </c>
    </row>
    <row r="4">
      <c r="A4" s="3" t="inlineStr">
        <is>
          <t>Inputs (example values are illustrative)</t>
        </is>
      </c>
      <c r="B4" s="4" t="n"/>
      <c r="C4" s="4" t="n"/>
    </row>
    <row r="5">
      <c r="A5" t="inlineStr">
        <is>
          <t>Paying customers today</t>
        </is>
      </c>
      <c r="B5" s="5" t="n">
        <v>400</v>
      </c>
    </row>
    <row r="6">
      <c r="A6" t="inlineStr">
        <is>
          <t>ARPA (per month)</t>
        </is>
      </c>
      <c r="B6" s="6" t="n">
        <v>250</v>
      </c>
    </row>
    <row r="7">
      <c r="A7" t="inlineStr">
        <is>
          <t>Gross margin</t>
        </is>
      </c>
      <c r="B7" s="7" t="n">
        <v>0.8</v>
      </c>
    </row>
    <row r="8">
      <c r="A8" t="inlineStr">
        <is>
          <t>Monthly churn (before the increase)</t>
        </is>
      </c>
      <c r="B8" s="8" t="n">
        <v>0.02</v>
      </c>
    </row>
    <row r="9">
      <c r="A9" t="inlineStr">
        <is>
          <t>Monthly expansion (% of MRR)</t>
        </is>
      </c>
      <c r="B9" s="8" t="n">
        <v>0.01</v>
      </c>
    </row>
    <row r="10">
      <c r="A10" t="inlineStr">
        <is>
          <t>New customers per month</t>
        </is>
      </c>
      <c r="B10" s="5" t="n">
        <v>15</v>
      </c>
    </row>
    <row r="11">
      <c r="A11" t="inlineStr">
        <is>
          <t>Price increase</t>
        </is>
      </c>
      <c r="B11" s="7" t="n">
        <v>0.1</v>
      </c>
    </row>
    <row r="12">
      <c r="A12" t="inlineStr">
        <is>
          <t>Who pays the new price</t>
        </is>
      </c>
      <c r="B12" s="9" t="inlineStr">
        <is>
          <t>All customers</t>
        </is>
      </c>
      <c r="C12" s="2" t="inlineStr">
        <is>
          <t>"All customers" = everyone after grandfathering; "At renewal" = 1/12 of the base renews each month; "New customers only"</t>
        </is>
      </c>
    </row>
    <row r="13">
      <c r="A13" t="inlineStr">
        <is>
          <t>Grandfathering (months on the old price, 0 to 12)</t>
        </is>
      </c>
      <c r="B13" s="5" t="n">
        <v>2</v>
      </c>
    </row>
    <row r="14">
      <c r="A14" t="inlineStr">
        <is>
          <t>Cancel at the increase (% of affected customers)</t>
        </is>
      </c>
      <c r="B14" s="7" t="n">
        <v>0.05</v>
      </c>
    </row>
    <row r="15">
      <c r="A15" t="inlineStr">
        <is>
          <t>Extra monthly churn after the increase (repriced customers)</t>
        </is>
      </c>
      <c r="B15" s="8" t="n">
        <v>0</v>
      </c>
    </row>
    <row r="17">
      <c r="A17" s="3" t="inlineStr">
        <is>
          <t>Break-even (closed form)</t>
        </is>
      </c>
      <c r="B17" s="4" t="n"/>
      <c r="C17" s="4" t="n"/>
    </row>
    <row r="18">
      <c r="A18" t="inlineStr">
        <is>
          <t>Starting MRR</t>
        </is>
      </c>
      <c r="B18" s="10">
        <f>B5*B6</f>
        <v/>
      </c>
    </row>
    <row r="19">
      <c r="A19" t="inlineStr">
        <is>
          <t>New ARPA</t>
        </is>
      </c>
      <c r="B19" s="11">
        <f>B6*(1+B11)</f>
        <v/>
      </c>
    </row>
    <row r="20">
      <c r="A20" t="inlineStr">
        <is>
          <t>Break-even cancellations, MRR: p / (1 + p)</t>
        </is>
      </c>
      <c r="B20" s="12">
        <f>B11/(1+B11)</f>
        <v/>
      </c>
    </row>
    <row r="21">
      <c r="A21" t="inlineStr">
        <is>
          <t>Break-even cancellations, gross profit: p / (GM + p)</t>
        </is>
      </c>
      <c r="B21" s="12">
        <f>IF(B7+B11&gt;0,B11/(B7+B11),"")</f>
        <v/>
      </c>
    </row>
    <row r="22">
      <c r="A22" t="inlineStr">
        <is>
          <t>k = 1 - churn + expansion</t>
        </is>
      </c>
      <c r="B22" s="13">
        <f>1-B8+B9</f>
        <v/>
      </c>
    </row>
    <row r="23">
      <c r="A23" t="inlineStr">
        <is>
          <t>Break-even extra monthly churn, MRR: k x (1 - (1+p)^(-1/12))</t>
        </is>
      </c>
      <c r="B23" s="12">
        <f>B22*(1-(1+B11)^(-1/12))</f>
        <v/>
      </c>
    </row>
    <row r="24">
      <c r="A24" t="inlineStr">
        <is>
          <t>Break-even extra monthly churn, gross profit: k x (1 - (GM/(GM+p))^(1/12))</t>
        </is>
      </c>
      <c r="B24" s="12">
        <f>IF(B7&gt;0,B22*(1-(B7/(B7+B11))^(1/12)),"")</f>
        <v/>
      </c>
    </row>
    <row r="26">
      <c r="A26" s="3" t="inlineStr">
        <is>
          <t>Results after 12 months</t>
        </is>
      </c>
      <c r="B26" s="4" t="n"/>
      <c r="C26" s="4" t="n"/>
    </row>
    <row r="27">
      <c r="A27" t="inlineStr">
        <is>
          <t>MRR at month 12 without the increase</t>
        </is>
      </c>
      <c r="B27" s="10">
        <f>K50</f>
        <v/>
      </c>
    </row>
    <row r="28">
      <c r="A28" t="inlineStr">
        <is>
          <t>MRR at month 12 with the increase</t>
        </is>
      </c>
      <c r="B28" s="10">
        <f>L50</f>
        <v/>
      </c>
    </row>
    <row r="29">
      <c r="A29" t="inlineStr">
        <is>
          <t>Difference</t>
        </is>
      </c>
      <c r="B29" s="10">
        <f>L50-K50</f>
        <v/>
      </c>
    </row>
    <row r="30">
      <c r="A30" t="inlineStr">
        <is>
          <t>ARR at month 12 without / with</t>
        </is>
      </c>
      <c r="B30" s="10">
        <f>K50*12</f>
        <v/>
      </c>
      <c r="C30" s="10">
        <f>L50*12</f>
        <v/>
      </c>
    </row>
    <row r="31">
      <c r="A31" t="inlineStr">
        <is>
          <t>12-month revenue without / with</t>
        </is>
      </c>
      <c r="B31" s="10">
        <f>SUM(K39:K50)</f>
        <v/>
      </c>
      <c r="C31" s="10">
        <f>SUM(L39:L50)</f>
        <v/>
      </c>
    </row>
    <row r="32">
      <c r="A32" t="inlineStr">
        <is>
          <t>12-month gross profit without / with</t>
        </is>
      </c>
      <c r="B32" s="10">
        <f>SUM(N39:N50)</f>
        <v/>
      </c>
      <c r="C32" s="10">
        <f>SUM(O39:O50)</f>
        <v/>
      </c>
    </row>
    <row r="33">
      <c r="A33" t="inlineStr">
        <is>
          <t>12-month gross profit difference</t>
        </is>
      </c>
      <c r="B33" s="10">
        <f>C32-B32</f>
        <v/>
      </c>
    </row>
    <row r="34">
      <c r="A34" t="inlineStr">
        <is>
          <t>Cohort NRR (today's customers), 12 months, without / with</t>
        </is>
      </c>
      <c r="B34" s="14">
        <f>IF(B18&gt;0,T50/B18,"")</f>
        <v/>
      </c>
      <c r="C34" s="14">
        <f>IF(B18&gt;0,S50/B18,"")</f>
        <v/>
      </c>
    </row>
    <row r="35">
      <c r="A35" t="inlineStr">
        <is>
          <t>Customers lost to the increase</t>
        </is>
      </c>
      <c r="B35" s="15">
        <f>SUM(R39:R50)</f>
        <v/>
      </c>
    </row>
    <row r="37">
      <c r="A37" s="3" t="inlineStr">
        <is>
          <t>12-month path (V = MRR at the old price; COGS = (1 - GM) x V)</t>
        </is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</row>
    <row r="38">
      <c r="A38" s="16" t="inlineStr">
        <is>
          <t>Month</t>
        </is>
      </c>
      <c r="B38" s="16" t="inlineStr">
        <is>
          <t>Share repriced</t>
        </is>
      </c>
      <c r="C38" s="16" t="inlineStr">
        <is>
          <t>Baseline V</t>
        </is>
      </c>
      <c r="D38" s="16" t="inlineStr">
        <is>
          <t>Baseline customers</t>
        </is>
      </c>
      <c r="E38" s="16" t="inlineStr">
        <is>
          <t>Old-price V</t>
        </is>
      </c>
      <c r="F38" s="16" t="inlineStr">
        <is>
          <t>Old-price customers</t>
        </is>
      </c>
      <c r="G38" s="16" t="inlineStr">
        <is>
          <t>Repriced V</t>
        </is>
      </c>
      <c r="H38" s="16" t="inlineStr">
        <is>
          <t>Repriced customers</t>
        </is>
      </c>
      <c r="I38" s="16" t="inlineStr">
        <is>
          <t>New-customer V</t>
        </is>
      </c>
      <c r="J38" s="16" t="inlineStr">
        <is>
          <t>New customers</t>
        </is>
      </c>
      <c r="K38" s="16" t="inlineStr">
        <is>
          <t>MRR without</t>
        </is>
      </c>
      <c r="L38" s="16" t="inlineStr">
        <is>
          <t>MRR with</t>
        </is>
      </c>
      <c r="M38" s="16" t="inlineStr">
        <is>
          <t>Difference</t>
        </is>
      </c>
      <c r="N38" s="16" t="inlineStr">
        <is>
          <t>Gross profit without</t>
        </is>
      </c>
      <c r="O38" s="16" t="inlineStr">
        <is>
          <t>Gross profit with</t>
        </is>
      </c>
      <c r="P38" s="16" t="inlineStr">
        <is>
          <t>Customers without</t>
        </is>
      </c>
      <c r="Q38" s="16" t="inlineStr">
        <is>
          <t>Customers with</t>
        </is>
      </c>
      <c r="R38" s="16" t="inlineStr">
        <is>
          <t>Lost at increase</t>
        </is>
      </c>
      <c r="S38" s="16" t="inlineStr">
        <is>
          <t>Cohort MRR with</t>
        </is>
      </c>
      <c r="T38" s="16" t="inlineStr">
        <is>
          <t>Cohort MRR without</t>
        </is>
      </c>
      <c r="U38" s="16" t="inlineStr">
        <is>
          <t>On new price</t>
        </is>
      </c>
    </row>
    <row r="39">
      <c r="A39" t="n">
        <v>1</v>
      </c>
      <c r="B39" s="17">
        <f>IF($B$12="All customers",IF(A39=ROUND($B$13,0)+1,1,0),IF($B$12="At renewal",IF(A39&gt;ROUND($B$13,0),1/(12-(A39-1-ROUND($B$13,0))),0),0))</f>
        <v/>
      </c>
      <c r="C39" s="18">
        <f>$B$18*$B$22+$B$10*$B$6</f>
        <v/>
      </c>
      <c r="D39" s="19">
        <f>$B$5*(1-$B$8)+$B$10</f>
        <v/>
      </c>
      <c r="E39" s="18">
        <f>$B$18*$B$22*(1-B39)</f>
        <v/>
      </c>
      <c r="F39" s="19">
        <f>$B$5*(1-$B$8)*(1-B39)</f>
        <v/>
      </c>
      <c r="G39" s="18">
        <f>MAX(0,0*($B$22-$B$15))+$B$18*$B$22*B39*(1-$B$14)</f>
        <v/>
      </c>
      <c r="H39" s="19">
        <f>MAX(0,0*(1-$B$8-$B$15))+$B$5*(1-$B$8)*B39*(1-$B$14)</f>
        <v/>
      </c>
      <c r="I39" s="18">
        <f>0*$B$22+$B$10*$B$6</f>
        <v/>
      </c>
      <c r="J39" s="19">
        <f>0*(1-$B$8)+$B$10</f>
        <v/>
      </c>
      <c r="K39" s="18">
        <f>C39</f>
        <v/>
      </c>
      <c r="L39" s="18">
        <f>E39+(1+$B$11)*(G39+I39)</f>
        <v/>
      </c>
      <c r="M39" s="18">
        <f>L39-K39</f>
        <v/>
      </c>
      <c r="N39" s="18">
        <f>K39*$B$7</f>
        <v/>
      </c>
      <c r="O39" s="18">
        <f>L39-(1-$B$7)*(E39+G39+I39)</f>
        <v/>
      </c>
      <c r="P39" s="20">
        <f>D39</f>
        <v/>
      </c>
      <c r="Q39" s="20">
        <f>F39+H39+J39</f>
        <v/>
      </c>
      <c r="R39" s="19">
        <f>$B$5*(1-$B$8)*B39*$B$14</f>
        <v/>
      </c>
      <c r="S39" s="18">
        <f>E39+(1+$B$11)*G39</f>
        <v/>
      </c>
      <c r="T39" s="18">
        <f>$B$18*$B$22^A39</f>
        <v/>
      </c>
      <c r="U39" s="21">
        <f>IF(F39+H39&gt;0,H39/(F39+H39),0)</f>
        <v/>
      </c>
    </row>
    <row r="40">
      <c r="A40" t="n">
        <v>2</v>
      </c>
      <c r="B40" s="17">
        <f>IF($B$12="All customers",IF(A40=ROUND($B$13,0)+1,1,0),IF($B$12="At renewal",IF(A40&gt;ROUND($B$13,0),1/(12-(A40-1-ROUND($B$13,0))),0),0))</f>
        <v/>
      </c>
      <c r="C40" s="18">
        <f>C39*$B$22+$B$10*$B$6</f>
        <v/>
      </c>
      <c r="D40" s="19">
        <f>D39*(1-$B$8)+$B$10</f>
        <v/>
      </c>
      <c r="E40" s="18">
        <f>E39*$B$22*(1-B40)</f>
        <v/>
      </c>
      <c r="F40" s="19">
        <f>F39*(1-$B$8)*(1-B40)</f>
        <v/>
      </c>
      <c r="G40" s="18">
        <f>MAX(0,G39*($B$22-$B$15))+E39*$B$22*B40*(1-$B$14)</f>
        <v/>
      </c>
      <c r="H40" s="19">
        <f>MAX(0,H39*(1-$B$8-$B$15))+F39*(1-$B$8)*B40*(1-$B$14)</f>
        <v/>
      </c>
      <c r="I40" s="18">
        <f>I39*$B$22+$B$10*$B$6</f>
        <v/>
      </c>
      <c r="J40" s="19">
        <f>J39*(1-$B$8)+$B$10</f>
        <v/>
      </c>
      <c r="K40" s="18">
        <f>C40</f>
        <v/>
      </c>
      <c r="L40" s="18">
        <f>E40+(1+$B$11)*(G40+I40)</f>
        <v/>
      </c>
      <c r="M40" s="18">
        <f>L40-K40</f>
        <v/>
      </c>
      <c r="N40" s="18">
        <f>K40*$B$7</f>
        <v/>
      </c>
      <c r="O40" s="18">
        <f>L40-(1-$B$7)*(E40+G40+I40)</f>
        <v/>
      </c>
      <c r="P40" s="20">
        <f>D40</f>
        <v/>
      </c>
      <c r="Q40" s="20">
        <f>F40+H40+J40</f>
        <v/>
      </c>
      <c r="R40" s="19">
        <f>F39*(1-$B$8)*B40*$B$14</f>
        <v/>
      </c>
      <c r="S40" s="18">
        <f>E40+(1+$B$11)*G40</f>
        <v/>
      </c>
      <c r="T40" s="18">
        <f>$B$18*$B$22^A40</f>
        <v/>
      </c>
      <c r="U40" s="21">
        <f>IF(F40+H40&gt;0,H40/(F40+H40),0)</f>
        <v/>
      </c>
    </row>
    <row r="41">
      <c r="A41" t="n">
        <v>3</v>
      </c>
      <c r="B41" s="17">
        <f>IF($B$12="All customers",IF(A41=ROUND($B$13,0)+1,1,0),IF($B$12="At renewal",IF(A41&gt;ROUND($B$13,0),1/(12-(A41-1-ROUND($B$13,0))),0),0))</f>
        <v/>
      </c>
      <c r="C41" s="18">
        <f>C40*$B$22+$B$10*$B$6</f>
        <v/>
      </c>
      <c r="D41" s="19">
        <f>D40*(1-$B$8)+$B$10</f>
        <v/>
      </c>
      <c r="E41" s="18">
        <f>E40*$B$22*(1-B41)</f>
        <v/>
      </c>
      <c r="F41" s="19">
        <f>F40*(1-$B$8)*(1-B41)</f>
        <v/>
      </c>
      <c r="G41" s="18">
        <f>MAX(0,G40*($B$22-$B$15))+E40*$B$22*B41*(1-$B$14)</f>
        <v/>
      </c>
      <c r="H41" s="19">
        <f>MAX(0,H40*(1-$B$8-$B$15))+F40*(1-$B$8)*B41*(1-$B$14)</f>
        <v/>
      </c>
      <c r="I41" s="18">
        <f>I40*$B$22+$B$10*$B$6</f>
        <v/>
      </c>
      <c r="J41" s="19">
        <f>J40*(1-$B$8)+$B$10</f>
        <v/>
      </c>
      <c r="K41" s="18">
        <f>C41</f>
        <v/>
      </c>
      <c r="L41" s="18">
        <f>E41+(1+$B$11)*(G41+I41)</f>
        <v/>
      </c>
      <c r="M41" s="18">
        <f>L41-K41</f>
        <v/>
      </c>
      <c r="N41" s="18">
        <f>K41*$B$7</f>
        <v/>
      </c>
      <c r="O41" s="18">
        <f>L41-(1-$B$7)*(E41+G41+I41)</f>
        <v/>
      </c>
      <c r="P41" s="20">
        <f>D41</f>
        <v/>
      </c>
      <c r="Q41" s="20">
        <f>F41+H41+J41</f>
        <v/>
      </c>
      <c r="R41" s="19">
        <f>F40*(1-$B$8)*B41*$B$14</f>
        <v/>
      </c>
      <c r="S41" s="18">
        <f>E41+(1+$B$11)*G41</f>
        <v/>
      </c>
      <c r="T41" s="18">
        <f>$B$18*$B$22^A41</f>
        <v/>
      </c>
      <c r="U41" s="21">
        <f>IF(F41+H41&gt;0,H41/(F41+H41),0)</f>
        <v/>
      </c>
    </row>
    <row r="42">
      <c r="A42" t="n">
        <v>4</v>
      </c>
      <c r="B42" s="17">
        <f>IF($B$12="All customers",IF(A42=ROUND($B$13,0)+1,1,0),IF($B$12="At renewal",IF(A42&gt;ROUND($B$13,0),1/(12-(A42-1-ROUND($B$13,0))),0),0))</f>
        <v/>
      </c>
      <c r="C42" s="18">
        <f>C41*$B$22+$B$10*$B$6</f>
        <v/>
      </c>
      <c r="D42" s="19">
        <f>D41*(1-$B$8)+$B$10</f>
        <v/>
      </c>
      <c r="E42" s="18">
        <f>E41*$B$22*(1-B42)</f>
        <v/>
      </c>
      <c r="F42" s="19">
        <f>F41*(1-$B$8)*(1-B42)</f>
        <v/>
      </c>
      <c r="G42" s="18">
        <f>MAX(0,G41*($B$22-$B$15))+E41*$B$22*B42*(1-$B$14)</f>
        <v/>
      </c>
      <c r="H42" s="19">
        <f>MAX(0,H41*(1-$B$8-$B$15))+F41*(1-$B$8)*B42*(1-$B$14)</f>
        <v/>
      </c>
      <c r="I42" s="18">
        <f>I41*$B$22+$B$10*$B$6</f>
        <v/>
      </c>
      <c r="J42" s="19">
        <f>J41*(1-$B$8)+$B$10</f>
        <v/>
      </c>
      <c r="K42" s="18">
        <f>C42</f>
        <v/>
      </c>
      <c r="L42" s="18">
        <f>E42+(1+$B$11)*(G42+I42)</f>
        <v/>
      </c>
      <c r="M42" s="18">
        <f>L42-K42</f>
        <v/>
      </c>
      <c r="N42" s="18">
        <f>K42*$B$7</f>
        <v/>
      </c>
      <c r="O42" s="18">
        <f>L42-(1-$B$7)*(E42+G42+I42)</f>
        <v/>
      </c>
      <c r="P42" s="20">
        <f>D42</f>
        <v/>
      </c>
      <c r="Q42" s="20">
        <f>F42+H42+J42</f>
        <v/>
      </c>
      <c r="R42" s="19">
        <f>F41*(1-$B$8)*B42*$B$14</f>
        <v/>
      </c>
      <c r="S42" s="18">
        <f>E42+(1+$B$11)*G42</f>
        <v/>
      </c>
      <c r="T42" s="18">
        <f>$B$18*$B$22^A42</f>
        <v/>
      </c>
      <c r="U42" s="21">
        <f>IF(F42+H42&gt;0,H42/(F42+H42),0)</f>
        <v/>
      </c>
    </row>
    <row r="43">
      <c r="A43" t="n">
        <v>5</v>
      </c>
      <c r="B43" s="17">
        <f>IF($B$12="All customers",IF(A43=ROUND($B$13,0)+1,1,0),IF($B$12="At renewal",IF(A43&gt;ROUND($B$13,0),1/(12-(A43-1-ROUND($B$13,0))),0),0))</f>
        <v/>
      </c>
      <c r="C43" s="18">
        <f>C42*$B$22+$B$10*$B$6</f>
        <v/>
      </c>
      <c r="D43" s="19">
        <f>D42*(1-$B$8)+$B$10</f>
        <v/>
      </c>
      <c r="E43" s="18">
        <f>E42*$B$22*(1-B43)</f>
        <v/>
      </c>
      <c r="F43" s="19">
        <f>F42*(1-$B$8)*(1-B43)</f>
        <v/>
      </c>
      <c r="G43" s="18">
        <f>MAX(0,G42*($B$22-$B$15))+E42*$B$22*B43*(1-$B$14)</f>
        <v/>
      </c>
      <c r="H43" s="19">
        <f>MAX(0,H42*(1-$B$8-$B$15))+F42*(1-$B$8)*B43*(1-$B$14)</f>
        <v/>
      </c>
      <c r="I43" s="18">
        <f>I42*$B$22+$B$10*$B$6</f>
        <v/>
      </c>
      <c r="J43" s="19">
        <f>J42*(1-$B$8)+$B$10</f>
        <v/>
      </c>
      <c r="K43" s="18">
        <f>C43</f>
        <v/>
      </c>
      <c r="L43" s="18">
        <f>E43+(1+$B$11)*(G43+I43)</f>
        <v/>
      </c>
      <c r="M43" s="18">
        <f>L43-K43</f>
        <v/>
      </c>
      <c r="N43" s="18">
        <f>K43*$B$7</f>
        <v/>
      </c>
      <c r="O43" s="18">
        <f>L43-(1-$B$7)*(E43+G43+I43)</f>
        <v/>
      </c>
      <c r="P43" s="20">
        <f>D43</f>
        <v/>
      </c>
      <c r="Q43" s="20">
        <f>F43+H43+J43</f>
        <v/>
      </c>
      <c r="R43" s="19">
        <f>F42*(1-$B$8)*B43*$B$14</f>
        <v/>
      </c>
      <c r="S43" s="18">
        <f>E43+(1+$B$11)*G43</f>
        <v/>
      </c>
      <c r="T43" s="18">
        <f>$B$18*$B$22^A43</f>
        <v/>
      </c>
      <c r="U43" s="21">
        <f>IF(F43+H43&gt;0,H43/(F43+H43),0)</f>
        <v/>
      </c>
    </row>
    <row r="44">
      <c r="A44" t="n">
        <v>6</v>
      </c>
      <c r="B44" s="17">
        <f>IF($B$12="All customers",IF(A44=ROUND($B$13,0)+1,1,0),IF($B$12="At renewal",IF(A44&gt;ROUND($B$13,0),1/(12-(A44-1-ROUND($B$13,0))),0),0))</f>
        <v/>
      </c>
      <c r="C44" s="18">
        <f>C43*$B$22+$B$10*$B$6</f>
        <v/>
      </c>
      <c r="D44" s="19">
        <f>D43*(1-$B$8)+$B$10</f>
        <v/>
      </c>
      <c r="E44" s="18">
        <f>E43*$B$22*(1-B44)</f>
        <v/>
      </c>
      <c r="F44" s="19">
        <f>F43*(1-$B$8)*(1-B44)</f>
        <v/>
      </c>
      <c r="G44" s="18">
        <f>MAX(0,G43*($B$22-$B$15))+E43*$B$22*B44*(1-$B$14)</f>
        <v/>
      </c>
      <c r="H44" s="19">
        <f>MAX(0,H43*(1-$B$8-$B$15))+F43*(1-$B$8)*B44*(1-$B$14)</f>
        <v/>
      </c>
      <c r="I44" s="18">
        <f>I43*$B$22+$B$10*$B$6</f>
        <v/>
      </c>
      <c r="J44" s="19">
        <f>J43*(1-$B$8)+$B$10</f>
        <v/>
      </c>
      <c r="K44" s="18">
        <f>C44</f>
        <v/>
      </c>
      <c r="L44" s="18">
        <f>E44+(1+$B$11)*(G44+I44)</f>
        <v/>
      </c>
      <c r="M44" s="18">
        <f>L44-K44</f>
        <v/>
      </c>
      <c r="N44" s="18">
        <f>K44*$B$7</f>
        <v/>
      </c>
      <c r="O44" s="18">
        <f>L44-(1-$B$7)*(E44+G44+I44)</f>
        <v/>
      </c>
      <c r="P44" s="20">
        <f>D44</f>
        <v/>
      </c>
      <c r="Q44" s="20">
        <f>F44+H44+J44</f>
        <v/>
      </c>
      <c r="R44" s="19">
        <f>F43*(1-$B$8)*B44*$B$14</f>
        <v/>
      </c>
      <c r="S44" s="18">
        <f>E44+(1+$B$11)*G44</f>
        <v/>
      </c>
      <c r="T44" s="18">
        <f>$B$18*$B$22^A44</f>
        <v/>
      </c>
      <c r="U44" s="21">
        <f>IF(F44+H44&gt;0,H44/(F44+H44),0)</f>
        <v/>
      </c>
    </row>
    <row r="45">
      <c r="A45" t="n">
        <v>7</v>
      </c>
      <c r="B45" s="17">
        <f>IF($B$12="All customers",IF(A45=ROUND($B$13,0)+1,1,0),IF($B$12="At renewal",IF(A45&gt;ROUND($B$13,0),1/(12-(A45-1-ROUND($B$13,0))),0),0))</f>
        <v/>
      </c>
      <c r="C45" s="18">
        <f>C44*$B$22+$B$10*$B$6</f>
        <v/>
      </c>
      <c r="D45" s="19">
        <f>D44*(1-$B$8)+$B$10</f>
        <v/>
      </c>
      <c r="E45" s="18">
        <f>E44*$B$22*(1-B45)</f>
        <v/>
      </c>
      <c r="F45" s="19">
        <f>F44*(1-$B$8)*(1-B45)</f>
        <v/>
      </c>
      <c r="G45" s="18">
        <f>MAX(0,G44*($B$22-$B$15))+E44*$B$22*B45*(1-$B$14)</f>
        <v/>
      </c>
      <c r="H45" s="19">
        <f>MAX(0,H44*(1-$B$8-$B$15))+F44*(1-$B$8)*B45*(1-$B$14)</f>
        <v/>
      </c>
      <c r="I45" s="18">
        <f>I44*$B$22+$B$10*$B$6</f>
        <v/>
      </c>
      <c r="J45" s="19">
        <f>J44*(1-$B$8)+$B$10</f>
        <v/>
      </c>
      <c r="K45" s="18">
        <f>C45</f>
        <v/>
      </c>
      <c r="L45" s="18">
        <f>E45+(1+$B$11)*(G45+I45)</f>
        <v/>
      </c>
      <c r="M45" s="18">
        <f>L45-K45</f>
        <v/>
      </c>
      <c r="N45" s="18">
        <f>K45*$B$7</f>
        <v/>
      </c>
      <c r="O45" s="18">
        <f>L45-(1-$B$7)*(E45+G45+I45)</f>
        <v/>
      </c>
      <c r="P45" s="20">
        <f>D45</f>
        <v/>
      </c>
      <c r="Q45" s="20">
        <f>F45+H45+J45</f>
        <v/>
      </c>
      <c r="R45" s="19">
        <f>F44*(1-$B$8)*B45*$B$14</f>
        <v/>
      </c>
      <c r="S45" s="18">
        <f>E45+(1+$B$11)*G45</f>
        <v/>
      </c>
      <c r="T45" s="18">
        <f>$B$18*$B$22^A45</f>
        <v/>
      </c>
      <c r="U45" s="21">
        <f>IF(F45+H45&gt;0,H45/(F45+H45),0)</f>
        <v/>
      </c>
    </row>
    <row r="46">
      <c r="A46" t="n">
        <v>8</v>
      </c>
      <c r="B46" s="17">
        <f>IF($B$12="All customers",IF(A46=ROUND($B$13,0)+1,1,0),IF($B$12="At renewal",IF(A46&gt;ROUND($B$13,0),1/(12-(A46-1-ROUND($B$13,0))),0),0))</f>
        <v/>
      </c>
      <c r="C46" s="18">
        <f>C45*$B$22+$B$10*$B$6</f>
        <v/>
      </c>
      <c r="D46" s="19">
        <f>D45*(1-$B$8)+$B$10</f>
        <v/>
      </c>
      <c r="E46" s="18">
        <f>E45*$B$22*(1-B46)</f>
        <v/>
      </c>
      <c r="F46" s="19">
        <f>F45*(1-$B$8)*(1-B46)</f>
        <v/>
      </c>
      <c r="G46" s="18">
        <f>MAX(0,G45*($B$22-$B$15))+E45*$B$22*B46*(1-$B$14)</f>
        <v/>
      </c>
      <c r="H46" s="19">
        <f>MAX(0,H45*(1-$B$8-$B$15))+F45*(1-$B$8)*B46*(1-$B$14)</f>
        <v/>
      </c>
      <c r="I46" s="18">
        <f>I45*$B$22+$B$10*$B$6</f>
        <v/>
      </c>
      <c r="J46" s="19">
        <f>J45*(1-$B$8)+$B$10</f>
        <v/>
      </c>
      <c r="K46" s="18">
        <f>C46</f>
        <v/>
      </c>
      <c r="L46" s="18">
        <f>E46+(1+$B$11)*(G46+I46)</f>
        <v/>
      </c>
      <c r="M46" s="18">
        <f>L46-K46</f>
        <v/>
      </c>
      <c r="N46" s="18">
        <f>K46*$B$7</f>
        <v/>
      </c>
      <c r="O46" s="18">
        <f>L46-(1-$B$7)*(E46+G46+I46)</f>
        <v/>
      </c>
      <c r="P46" s="20">
        <f>D46</f>
        <v/>
      </c>
      <c r="Q46" s="20">
        <f>F46+H46+J46</f>
        <v/>
      </c>
      <c r="R46" s="19">
        <f>F45*(1-$B$8)*B46*$B$14</f>
        <v/>
      </c>
      <c r="S46" s="18">
        <f>E46+(1+$B$11)*G46</f>
        <v/>
      </c>
      <c r="T46" s="18">
        <f>$B$18*$B$22^A46</f>
        <v/>
      </c>
      <c r="U46" s="21">
        <f>IF(F46+H46&gt;0,H46/(F46+H46),0)</f>
        <v/>
      </c>
    </row>
    <row r="47">
      <c r="A47" t="n">
        <v>9</v>
      </c>
      <c r="B47" s="17">
        <f>IF($B$12="All customers",IF(A47=ROUND($B$13,0)+1,1,0),IF($B$12="At renewal",IF(A47&gt;ROUND($B$13,0),1/(12-(A47-1-ROUND($B$13,0))),0),0))</f>
        <v/>
      </c>
      <c r="C47" s="18">
        <f>C46*$B$22+$B$10*$B$6</f>
        <v/>
      </c>
      <c r="D47" s="19">
        <f>D46*(1-$B$8)+$B$10</f>
        <v/>
      </c>
      <c r="E47" s="18">
        <f>E46*$B$22*(1-B47)</f>
        <v/>
      </c>
      <c r="F47" s="19">
        <f>F46*(1-$B$8)*(1-B47)</f>
        <v/>
      </c>
      <c r="G47" s="18">
        <f>MAX(0,G46*($B$22-$B$15))+E46*$B$22*B47*(1-$B$14)</f>
        <v/>
      </c>
      <c r="H47" s="19">
        <f>MAX(0,H46*(1-$B$8-$B$15))+F46*(1-$B$8)*B47*(1-$B$14)</f>
        <v/>
      </c>
      <c r="I47" s="18">
        <f>I46*$B$22+$B$10*$B$6</f>
        <v/>
      </c>
      <c r="J47" s="19">
        <f>J46*(1-$B$8)+$B$10</f>
        <v/>
      </c>
      <c r="K47" s="18">
        <f>C47</f>
        <v/>
      </c>
      <c r="L47" s="18">
        <f>E47+(1+$B$11)*(G47+I47)</f>
        <v/>
      </c>
      <c r="M47" s="18">
        <f>L47-K47</f>
        <v/>
      </c>
      <c r="N47" s="18">
        <f>K47*$B$7</f>
        <v/>
      </c>
      <c r="O47" s="18">
        <f>L47-(1-$B$7)*(E47+G47+I47)</f>
        <v/>
      </c>
      <c r="P47" s="20">
        <f>D47</f>
        <v/>
      </c>
      <c r="Q47" s="20">
        <f>F47+H47+J47</f>
        <v/>
      </c>
      <c r="R47" s="19">
        <f>F46*(1-$B$8)*B47*$B$14</f>
        <v/>
      </c>
      <c r="S47" s="18">
        <f>E47+(1+$B$11)*G47</f>
        <v/>
      </c>
      <c r="T47" s="18">
        <f>$B$18*$B$22^A47</f>
        <v/>
      </c>
      <c r="U47" s="21">
        <f>IF(F47+H47&gt;0,H47/(F47+H47),0)</f>
        <v/>
      </c>
    </row>
    <row r="48">
      <c r="A48" t="n">
        <v>10</v>
      </c>
      <c r="B48" s="17">
        <f>IF($B$12="All customers",IF(A48=ROUND($B$13,0)+1,1,0),IF($B$12="At renewal",IF(A48&gt;ROUND($B$13,0),1/(12-(A48-1-ROUND($B$13,0))),0),0))</f>
        <v/>
      </c>
      <c r="C48" s="18">
        <f>C47*$B$22+$B$10*$B$6</f>
        <v/>
      </c>
      <c r="D48" s="19">
        <f>D47*(1-$B$8)+$B$10</f>
        <v/>
      </c>
      <c r="E48" s="18">
        <f>E47*$B$22*(1-B48)</f>
        <v/>
      </c>
      <c r="F48" s="19">
        <f>F47*(1-$B$8)*(1-B48)</f>
        <v/>
      </c>
      <c r="G48" s="18">
        <f>MAX(0,G47*($B$22-$B$15))+E47*$B$22*B48*(1-$B$14)</f>
        <v/>
      </c>
      <c r="H48" s="19">
        <f>MAX(0,H47*(1-$B$8-$B$15))+F47*(1-$B$8)*B48*(1-$B$14)</f>
        <v/>
      </c>
      <c r="I48" s="18">
        <f>I47*$B$22+$B$10*$B$6</f>
        <v/>
      </c>
      <c r="J48" s="19">
        <f>J47*(1-$B$8)+$B$10</f>
        <v/>
      </c>
      <c r="K48" s="18">
        <f>C48</f>
        <v/>
      </c>
      <c r="L48" s="18">
        <f>E48+(1+$B$11)*(G48+I48)</f>
        <v/>
      </c>
      <c r="M48" s="18">
        <f>L48-K48</f>
        <v/>
      </c>
      <c r="N48" s="18">
        <f>K48*$B$7</f>
        <v/>
      </c>
      <c r="O48" s="18">
        <f>L48-(1-$B$7)*(E48+G48+I48)</f>
        <v/>
      </c>
      <c r="P48" s="20">
        <f>D48</f>
        <v/>
      </c>
      <c r="Q48" s="20">
        <f>F48+H48+J48</f>
        <v/>
      </c>
      <c r="R48" s="19">
        <f>F47*(1-$B$8)*B48*$B$14</f>
        <v/>
      </c>
      <c r="S48" s="18">
        <f>E48+(1+$B$11)*G48</f>
        <v/>
      </c>
      <c r="T48" s="18">
        <f>$B$18*$B$22^A48</f>
        <v/>
      </c>
      <c r="U48" s="21">
        <f>IF(F48+H48&gt;0,H48/(F48+H48),0)</f>
        <v/>
      </c>
    </row>
    <row r="49">
      <c r="A49" t="n">
        <v>11</v>
      </c>
      <c r="B49" s="17">
        <f>IF($B$12="All customers",IF(A49=ROUND($B$13,0)+1,1,0),IF($B$12="At renewal",IF(A49&gt;ROUND($B$13,0),1/(12-(A49-1-ROUND($B$13,0))),0),0))</f>
        <v/>
      </c>
      <c r="C49" s="18">
        <f>C48*$B$22+$B$10*$B$6</f>
        <v/>
      </c>
      <c r="D49" s="19">
        <f>D48*(1-$B$8)+$B$10</f>
        <v/>
      </c>
      <c r="E49" s="18">
        <f>E48*$B$22*(1-B49)</f>
        <v/>
      </c>
      <c r="F49" s="19">
        <f>F48*(1-$B$8)*(1-B49)</f>
        <v/>
      </c>
      <c r="G49" s="18">
        <f>MAX(0,G48*($B$22-$B$15))+E48*$B$22*B49*(1-$B$14)</f>
        <v/>
      </c>
      <c r="H49" s="19">
        <f>MAX(0,H48*(1-$B$8-$B$15))+F48*(1-$B$8)*B49*(1-$B$14)</f>
        <v/>
      </c>
      <c r="I49" s="18">
        <f>I48*$B$22+$B$10*$B$6</f>
        <v/>
      </c>
      <c r="J49" s="19">
        <f>J48*(1-$B$8)+$B$10</f>
        <v/>
      </c>
      <c r="K49" s="18">
        <f>C49</f>
        <v/>
      </c>
      <c r="L49" s="18">
        <f>E49+(1+$B$11)*(G49+I49)</f>
        <v/>
      </c>
      <c r="M49" s="18">
        <f>L49-K49</f>
        <v/>
      </c>
      <c r="N49" s="18">
        <f>K49*$B$7</f>
        <v/>
      </c>
      <c r="O49" s="18">
        <f>L49-(1-$B$7)*(E49+G49+I49)</f>
        <v/>
      </c>
      <c r="P49" s="20">
        <f>D49</f>
        <v/>
      </c>
      <c r="Q49" s="20">
        <f>F49+H49+J49</f>
        <v/>
      </c>
      <c r="R49" s="19">
        <f>F48*(1-$B$8)*B49*$B$14</f>
        <v/>
      </c>
      <c r="S49" s="18">
        <f>E49+(1+$B$11)*G49</f>
        <v/>
      </c>
      <c r="T49" s="18">
        <f>$B$18*$B$22^A49</f>
        <v/>
      </c>
      <c r="U49" s="21">
        <f>IF(F49+H49&gt;0,H49/(F49+H49),0)</f>
        <v/>
      </c>
    </row>
    <row r="50">
      <c r="A50" t="n">
        <v>12</v>
      </c>
      <c r="B50" s="17">
        <f>IF($B$12="All customers",IF(A50=ROUND($B$13,0)+1,1,0),IF($B$12="At renewal",IF(A50&gt;ROUND($B$13,0),1/(12-(A50-1-ROUND($B$13,0))),0),0))</f>
        <v/>
      </c>
      <c r="C50" s="18">
        <f>C49*$B$22+$B$10*$B$6</f>
        <v/>
      </c>
      <c r="D50" s="19">
        <f>D49*(1-$B$8)+$B$10</f>
        <v/>
      </c>
      <c r="E50" s="18">
        <f>E49*$B$22*(1-B50)</f>
        <v/>
      </c>
      <c r="F50" s="19">
        <f>F49*(1-$B$8)*(1-B50)</f>
        <v/>
      </c>
      <c r="G50" s="18">
        <f>MAX(0,G49*($B$22-$B$15))+E49*$B$22*B50*(1-$B$14)</f>
        <v/>
      </c>
      <c r="H50" s="19">
        <f>MAX(0,H49*(1-$B$8-$B$15))+F49*(1-$B$8)*B50*(1-$B$14)</f>
        <v/>
      </c>
      <c r="I50" s="18">
        <f>I49*$B$22+$B$10*$B$6</f>
        <v/>
      </c>
      <c r="J50" s="19">
        <f>J49*(1-$B$8)+$B$10</f>
        <v/>
      </c>
      <c r="K50" s="18">
        <f>C50</f>
        <v/>
      </c>
      <c r="L50" s="18">
        <f>E50+(1+$B$11)*(G50+I50)</f>
        <v/>
      </c>
      <c r="M50" s="18">
        <f>L50-K50</f>
        <v/>
      </c>
      <c r="N50" s="18">
        <f>K50*$B$7</f>
        <v/>
      </c>
      <c r="O50" s="18">
        <f>L50-(1-$B$7)*(E50+G50+I50)</f>
        <v/>
      </c>
      <c r="P50" s="20">
        <f>D50</f>
        <v/>
      </c>
      <c r="Q50" s="20">
        <f>F50+H50+J50</f>
        <v/>
      </c>
      <c r="R50" s="19">
        <f>F49*(1-$B$8)*B50*$B$14</f>
        <v/>
      </c>
      <c r="S50" s="18">
        <f>E50+(1+$B$11)*G50</f>
        <v/>
      </c>
      <c r="T50" s="18">
        <f>$B$18*$B$22^A50</f>
        <v/>
      </c>
      <c r="U50" s="21">
        <f>IF(F50+H50&gt;0,H50/(F50+H50),0)</f>
        <v/>
      </c>
    </row>
    <row r="51">
      <c r="A51" s="22" t="inlineStr">
        <is>
          <t>12 months</t>
        </is>
      </c>
      <c r="K51" s="10">
        <f>SUM(K39:K50)</f>
        <v/>
      </c>
      <c r="L51" s="10">
        <f>SUM(L39:L50)</f>
        <v/>
      </c>
      <c r="M51" s="10">
        <f>SUM(M39:M50)</f>
        <v/>
      </c>
      <c r="N51" s="10">
        <f>SUM(N39:N50)</f>
        <v/>
      </c>
      <c r="O51" s="10">
        <f>SUM(O39:O50)</f>
        <v/>
      </c>
      <c r="R51" s="15">
        <f>SUM(R39:R50)</f>
        <v/>
      </c>
    </row>
  </sheetData>
  <dataValidations count="2">
    <dataValidation sqref="B12" showDropDown="0" showInputMessage="0" showErrorMessage="0" allowBlank="0" type="list">
      <formula1>"All customers,At renewal,New customers only"</formula1>
    </dataValidation>
    <dataValidation sqref="B13" showDropDown="0" showInputMessage="0" showErrorMessage="0" allowBlank="0" type="whole" operator="between">
      <formula1>0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50" customWidth="1" min="5" max="5"/>
  </cols>
  <sheetData>
    <row r="1">
      <c r="A1" s="1" t="inlineStr">
        <is>
          <t>Pricing model P&amp;L: per seat vs usage vs hybrid</t>
        </is>
      </c>
    </row>
    <row r="2">
      <c r="A2" s="2" t="inlineStr">
        <is>
          <t>Same accounts and the same cost to serve, priced three ways. Example values are illustrative.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Accounts (from the Price increase sheet)</t>
        </is>
      </c>
      <c r="B5">
        <f>'Price increase'!B5</f>
        <v/>
      </c>
    </row>
    <row r="6">
      <c r="A6" t="inlineStr">
        <is>
          <t>Seats per account</t>
        </is>
      </c>
      <c r="B6" s="5" t="n">
        <v>10</v>
      </c>
    </row>
    <row r="7">
      <c r="A7" t="inlineStr">
        <is>
          <t>Price per seat (per month)</t>
        </is>
      </c>
      <c r="B7" s="6" t="n">
        <v>25</v>
      </c>
    </row>
    <row r="8">
      <c r="A8" t="inlineStr">
        <is>
          <t>Median usage per account (units / month)</t>
        </is>
      </c>
      <c r="B8" s="23" t="n">
        <v>1000</v>
      </c>
    </row>
    <row r="9">
      <c r="A9" t="inlineStr">
        <is>
          <t>p90 account uses ... x the median</t>
        </is>
      </c>
      <c r="B9" s="24" t="n">
        <v>4</v>
      </c>
    </row>
    <row r="10">
      <c r="A10" t="inlineStr">
        <is>
          <t>Usage model: price per unit</t>
        </is>
      </c>
      <c r="B10" s="6" t="n">
        <v>0.15</v>
      </c>
    </row>
    <row r="11">
      <c r="A11" t="inlineStr">
        <is>
          <t>Hybrid: platform fee per account / month</t>
        </is>
      </c>
      <c r="B11" s="6" t="n">
        <v>100</v>
      </c>
    </row>
    <row r="12">
      <c r="A12" t="inlineStr">
        <is>
          <t>Hybrid: price per unit</t>
        </is>
      </c>
      <c r="B12" s="6" t="n">
        <v>0.08</v>
      </c>
    </row>
    <row r="13">
      <c r="A13" t="inlineStr">
        <is>
          <t>Cost to serve an account (per month)</t>
        </is>
      </c>
      <c r="B13" s="6" t="n">
        <v>15</v>
      </c>
    </row>
    <row r="14">
      <c r="A14" t="inlineStr">
        <is>
          <t>Usage cost per unit (inference, compute)</t>
        </is>
      </c>
      <c r="B14" s="25" t="n">
        <v>0.02</v>
      </c>
    </row>
    <row r="15">
      <c r="A15" t="inlineStr">
        <is>
          <t>Seat change per account over 12 months</t>
        </is>
      </c>
      <c r="B15" s="7" t="n">
        <v>0</v>
      </c>
    </row>
    <row r="16">
      <c r="A16" t="inlineStr">
        <is>
          <t>Usage change per account over 12 months</t>
        </is>
      </c>
      <c r="B16" s="7" t="n">
        <v>0.3</v>
      </c>
    </row>
    <row r="18">
      <c r="A18" s="3" t="inlineStr">
        <is>
          <t>Usage distribution (lognormal through the median and p90)</t>
        </is>
      </c>
      <c r="B18" s="4" t="n"/>
      <c r="C18" s="4" t="n"/>
    </row>
    <row r="19">
      <c r="A19" t="inlineStr">
        <is>
          <t>sigma = ln(p90 multiple) / 1.28155</t>
        </is>
      </c>
      <c r="B19" s="13">
        <f>LN(MAX(1,B9))/NORMSINV(0.9)</f>
        <v/>
      </c>
    </row>
    <row r="20">
      <c r="A20" t="inlineStr">
        <is>
          <t>Mean usage = median x exp(sigma^2 / 2)</t>
        </is>
      </c>
      <c r="B20" s="26">
        <f>B8*EXP(B19^2/2)</f>
        <v/>
      </c>
    </row>
    <row r="21">
      <c r="A21" t="inlineStr">
        <is>
          <t>p90 usage</t>
        </is>
      </c>
      <c r="B21" s="27">
        <f>B8*MAX(1,B9)</f>
        <v/>
      </c>
    </row>
    <row r="22">
      <c r="A22" t="inlineStr">
        <is>
          <t>Share of usage from the top 10% of accounts</t>
        </is>
      </c>
      <c r="B22" s="14">
        <f>1-NORMSDIST(NORMSINV(0.9)-B19)</f>
        <v/>
      </c>
    </row>
    <row r="23">
      <c r="A23" t="inlineStr">
        <is>
          <t>Cost to serve, average account</t>
        </is>
      </c>
      <c r="B23" s="11">
        <f>B13+B14*B20</f>
        <v/>
      </c>
    </row>
    <row r="24">
      <c r="A24" t="inlineStr">
        <is>
          <t>Cost to serve, median account</t>
        </is>
      </c>
      <c r="B24" s="11">
        <f>B13+B14*B8</f>
        <v/>
      </c>
    </row>
    <row r="25">
      <c r="A25" t="inlineStr">
        <is>
          <t>Cost to serve, p90 account</t>
        </is>
      </c>
      <c r="B25" s="11">
        <f>B13+B14*B21</f>
        <v/>
      </c>
    </row>
    <row r="27">
      <c r="A27" s="3" t="inlineStr">
        <is>
          <t>Pricing model P&amp;L (per month)</t>
        </is>
      </c>
      <c r="B27" s="4" t="n"/>
      <c r="C27" s="4" t="n"/>
      <c r="D27" s="4" t="n"/>
    </row>
    <row r="28">
      <c r="A28" s="16" t="inlineStr"/>
      <c r="B28" s="16" t="inlineStr">
        <is>
          <t>Per seat</t>
        </is>
      </c>
      <c r="C28" s="16" t="inlineStr">
        <is>
          <t>Usage</t>
        </is>
      </c>
      <c r="D28" s="16" t="inlineStr">
        <is>
          <t>Hybrid</t>
        </is>
      </c>
    </row>
    <row r="29">
      <c r="A29" t="inlineStr">
        <is>
          <t>ARPA (average bill)</t>
        </is>
      </c>
      <c r="B29" s="28">
        <f>($B$6*$B$7)</f>
        <v/>
      </c>
      <c r="C29" s="28">
        <f>($B$10*$B$20)</f>
        <v/>
      </c>
      <c r="D29" s="28">
        <f>($B$11+$B$12*$B$20)</f>
        <v/>
      </c>
    </row>
    <row r="30">
      <c r="A30" t="inlineStr">
        <is>
          <t>MRR</t>
        </is>
      </c>
      <c r="B30" s="18">
        <f>$B$5*($B$6*$B$7)</f>
        <v/>
      </c>
      <c r="C30" s="18">
        <f>$B$5*($B$10*$B$20)</f>
        <v/>
      </c>
      <c r="D30" s="18">
        <f>$B$5*($B$11+$B$12*$B$20)</f>
        <v/>
      </c>
    </row>
    <row r="31">
      <c r="A31" t="inlineStr">
        <is>
          <t>ARR</t>
        </is>
      </c>
      <c r="B31" s="18">
        <f>$B$5*($B$6*$B$7)*12</f>
        <v/>
      </c>
      <c r="C31" s="18">
        <f>$B$5*($B$10*$B$20)*12</f>
        <v/>
      </c>
      <c r="D31" s="18">
        <f>$B$5*($B$11+$B$12*$B$20)*12</f>
        <v/>
      </c>
    </row>
    <row r="32">
      <c r="A32" t="inlineStr">
        <is>
          <t>Cost to serve (COGS)</t>
        </is>
      </c>
      <c r="B32" s="18">
        <f>$B$5*$B$23</f>
        <v/>
      </c>
      <c r="C32" s="18">
        <f>$B$5*$B$23</f>
        <v/>
      </c>
      <c r="D32" s="18">
        <f>$B$5*$B$23</f>
        <v/>
      </c>
    </row>
    <row r="33">
      <c r="A33" t="inlineStr">
        <is>
          <t>Gross profit</t>
        </is>
      </c>
      <c r="B33" s="18">
        <f>$B$5*(($B$6*$B$7)-$B$23)</f>
        <v/>
      </c>
      <c r="C33" s="18">
        <f>$B$5*(($B$10*$B$20)-$B$23)</f>
        <v/>
      </c>
      <c r="D33" s="18">
        <f>$B$5*(($B$11+$B$12*$B$20)-$B$23)</f>
        <v/>
      </c>
    </row>
    <row r="34">
      <c r="A34" t="inlineStr">
        <is>
          <t>Gross margin</t>
        </is>
      </c>
      <c r="B34" s="29">
        <f>IF(($B$6*$B$7)&gt;0,(($B$6*$B$7)-$B$23)/($B$6*$B$7),"")</f>
        <v/>
      </c>
      <c r="C34" s="29">
        <f>IF(($B$10*$B$20)&gt;0,(($B$10*$B$20)-$B$23)/($B$10*$B$20),"")</f>
        <v/>
      </c>
      <c r="D34" s="29">
        <f>IF(($B$11+$B$12*$B$20)&gt;0,(($B$11+$B$12*$B$20)-$B$23)/($B$11+$B$12*$B$20),"")</f>
        <v/>
      </c>
    </row>
    <row r="35">
      <c r="A35" t="inlineStr">
        <is>
          <t>Median account bill</t>
        </is>
      </c>
      <c r="B35" s="28">
        <f>($B$6*$B$7)</f>
        <v/>
      </c>
      <c r="C35" s="28">
        <f>($B$10*$B$8)</f>
        <v/>
      </c>
      <c r="D35" s="28">
        <f>($B$11+$B$12*$B$8)</f>
        <v/>
      </c>
    </row>
    <row r="36">
      <c r="A36" t="inlineStr">
        <is>
          <t>Median account margin</t>
        </is>
      </c>
      <c r="B36" s="29">
        <f>IF(($B$6*$B$7)&gt;0,(($B$6*$B$7)-$B$24)/($B$6*$B$7),"")</f>
        <v/>
      </c>
      <c r="C36" s="29">
        <f>IF(($B$10*$B$8)&gt;0,(($B$10*$B$8)-$B$24)/($B$10*$B$8),"")</f>
        <v/>
      </c>
      <c r="D36" s="29">
        <f>IF(($B$11+$B$12*$B$8)&gt;0,(($B$11+$B$12*$B$8)-$B$24)/($B$11+$B$12*$B$8),"")</f>
        <v/>
      </c>
    </row>
    <row r="37">
      <c r="A37" t="inlineStr">
        <is>
          <t>p90 account bill</t>
        </is>
      </c>
      <c r="B37" s="28">
        <f>($B$6*$B$7)</f>
        <v/>
      </c>
      <c r="C37" s="28">
        <f>($B$10*$B$21)</f>
        <v/>
      </c>
      <c r="D37" s="28">
        <f>($B$11+$B$12*$B$21)</f>
        <v/>
      </c>
    </row>
    <row r="38">
      <c r="A38" t="inlineStr">
        <is>
          <t>p90 account margin</t>
        </is>
      </c>
      <c r="B38" s="29">
        <f>IF(($B$6*$B$7)&gt;0,(($B$6*$B$7)-$B$25)/($B$6*$B$7),"")</f>
        <v/>
      </c>
      <c r="C38" s="29">
        <f>IF(($B$10*$B$21)&gt;0,(($B$10*$B$21)-$B$25)/($B$10*$B$21),"")</f>
        <v/>
      </c>
      <c r="D38" s="29">
        <f>IF(($B$11+$B$12*$B$21)&gt;0,(($B$11+$B$12*$B$21)-$B$25)/($B$11+$B$12*$B$21),"")</f>
        <v/>
      </c>
    </row>
    <row r="39">
      <c r="A39" t="inlineStr">
        <is>
          <t>Revenue from the top 10% of accounts</t>
        </is>
      </c>
      <c r="B39" s="29" t="n">
        <v>0.1</v>
      </c>
      <c r="C39" s="29">
        <f>B22</f>
        <v/>
      </c>
      <c r="D39" s="29">
        <f>IF(D29&gt;0,(0.1*B11+B12*B20*B22)/D29,"")</f>
        <v/>
      </c>
    </row>
    <row r="40">
      <c r="A40" t="inlineStr">
        <is>
          <t>NRR before churn, 12 months</t>
        </is>
      </c>
      <c r="B40" s="29">
        <f>1+B15</f>
        <v/>
      </c>
      <c r="C40" s="29">
        <f>1+B16</f>
        <v/>
      </c>
      <c r="D40" s="29">
        <f>IF(D29&gt;0,(B11+B12*B20*(1+B16))/D29,"")</f>
        <v/>
      </c>
    </row>
    <row r="42">
      <c r="A42" s="2" t="inlineStr">
        <is>
          <t>Seat bills assume seat counts do not track usage. Gross margin = (bill - cost to serve) / bill. The lognormal spread is a modelling choice: replace it with your own usage data if you have it.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0" t="inlineStr">
        <is>
          <t>Free template by Adlega</t>
        </is>
      </c>
    </row>
    <row r="2">
      <c r="A2" s="31" t="inlineStr">
        <is>
          <t>Live price increase calculator: https://adlega.com/blog/tools/price-increase/</t>
        </is>
      </c>
    </row>
    <row r="3">
      <c r="A3" s="31" t="inlineStr">
        <is>
          <t>Version: October 2026</t>
        </is>
      </c>
    </row>
    <row r="4">
      <c r="A4" s="31" t="inlineStr"/>
    </row>
    <row r="5">
      <c r="A5" s="31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31" t="inlineStr">
        <is>
          <t>Blue cells on a light yellow background are inputs. Every other number is a live formula that mirrors the web calculator.</t>
        </is>
      </c>
    </row>
    <row r="7">
      <c r="A7" s="31" t="inlineStr"/>
    </row>
    <row r="8">
      <c r="A8" s="31" t="inlineStr">
        <is>
          <t>How it works: every group of customers rolls forward each month at (1 - churn + expansion); new customers join at ARPA and pay the new price from month 1.</t>
        </is>
      </c>
    </row>
    <row r="9">
      <c r="A9" s="31" t="inlineStr">
        <is>
          <t>Existing customers move to the new price after the grandfathering months (all at once, or 1/12 of the base per month at renewal). A share of those who move cancel at once.</t>
        </is>
      </c>
    </row>
    <row r="10">
      <c r="A10" s="31" t="inlineStr">
        <is>
          <t>V is MRR at the old price. COGS = (1 - gross margin) x V, so the cost to serve does not change with the price. MRR with the increase = old-price V + (1 + increase) x (repriced V + new-customer V).</t>
        </is>
      </c>
    </row>
    <row r="11">
      <c r="A11" s="31" t="inlineStr">
        <is>
          <t>Break-even cancellations: MRR x = p / (1 + p); gross profit x = p / (GM + p). Break-even extra monthly churn over 12 months: k x (1 - (1 + p)^(-1/12)), k = 1 - churn + expansion.</t>
        </is>
      </c>
    </row>
    <row r="12">
      <c r="A12" s="31" t="inlineStr"/>
    </row>
    <row r="13">
      <c r="A13" s="31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Price Increase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2026-10-22T21:20:41Z</dcterms:modified>
  <cp:lastModifiedBy>Adlega</cp:lastModifiedBy>
</cp:coreProperties>
</file>