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amp grid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"/>
    <numFmt numFmtId="166" formatCode="0.0000"/>
    <numFmt numFmtId="167" formatCode="0.000"/>
    <numFmt numFmtId="168" formatCode="0.0&quot;x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9" fontId="4" fillId="3" borderId="0" pivotButton="0" quotePrefix="0" xfId="0"/>
    <xf numFmtId="3" fontId="4" fillId="3" borderId="0" pivotButton="0" quotePrefix="0" xfId="0"/>
    <xf numFmtId="0" fontId="3" fillId="4" borderId="0" applyAlignment="1" pivotButton="0" quotePrefix="0" xfId="0">
      <alignment vertical="bottom" wrapText="1"/>
    </xf>
    <xf numFmtId="0" fontId="3" fillId="0" borderId="0" pivotButton="0" quotePrefix="0" xfId="0"/>
    <xf numFmtId="3" fontId="0" fillId="0" borderId="0" pivotButton="0" quotePrefix="0" xfId="0"/>
    <xf numFmtId="165" fontId="4" fillId="3" borderId="0" pivotButton="0" quotePrefix="0" xfId="0"/>
    <xf numFmtId="0" fontId="4" fillId="3" borderId="0" pivotButton="0" quotePrefix="0" xfId="0"/>
    <xf numFmtId="3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8" fontId="0" fillId="0" borderId="0" applyAlignment="1" pivotButton="0" quotePrefix="0" xfId="0">
      <alignment horizontal="right"/>
    </xf>
    <xf numFmtId="164" fontId="0" fillId="0" borderId="0" pivotButton="0" quotePrefix="0" xfId="0"/>
    <xf numFmtId="167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4" customWidth="1" min="4" max="4"/>
    <col width="12" customWidth="1" min="5" max="5"/>
  </cols>
  <sheetData>
    <row r="1">
      <c r="A1" s="1" t="inlineStr">
        <is>
          <t>Sales Capacity and Pipeline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Team</t>
        </is>
      </c>
      <c r="B4" s="4" t="n"/>
      <c r="C4" s="4" t="n"/>
    </row>
    <row r="5">
      <c r="A5" t="inlineStr">
        <is>
          <t>Annual quota per ramped AE (new ARR)</t>
        </is>
      </c>
      <c r="B5" s="5" t="n">
        <v>875000</v>
      </c>
    </row>
    <row r="6">
      <c r="A6" t="inlineStr">
        <is>
          <t>Average attainment</t>
        </is>
      </c>
      <c r="B6" s="6" t="n">
        <v>0.75</v>
      </c>
    </row>
    <row r="7">
      <c r="A7" t="inlineStr">
        <is>
          <t>Ramped AEs today</t>
        </is>
      </c>
      <c r="B7" s="7" t="n">
        <v>3</v>
      </c>
    </row>
    <row r="8">
      <c r="A8" t="inlineStr">
        <is>
          <t>Ramp time (months)</t>
        </is>
      </c>
      <c r="B8" s="7" t="n">
        <v>6</v>
      </c>
      <c r="C8" s="2" t="inlineStr">
        <is>
          <t>Linear ramp: month k of tenure = k / (ramp + 1) of a ramped AE.</t>
        </is>
      </c>
    </row>
    <row r="9">
      <c r="A9" t="inlineStr">
        <is>
          <t>Annual AE attrition</t>
        </is>
      </c>
      <c r="B9" s="6" t="n">
        <v>0</v>
      </c>
      <c r="C9" s="2" t="inlineStr">
        <is>
          <t>Leavers are not backfilled.</t>
        </is>
      </c>
    </row>
    <row r="11">
      <c r="A11" s="3" t="inlineStr">
        <is>
          <t>New AE hires (up to 6 rows)</t>
        </is>
      </c>
      <c r="B11" s="4" t="n"/>
      <c r="C11" s="4" t="n"/>
    </row>
    <row r="12">
      <c r="A12" s="8" t="inlineStr"/>
      <c r="B12" s="8" t="inlineStr">
        <is>
          <t>New AEs</t>
        </is>
      </c>
      <c r="C12" s="8" t="inlineStr">
        <is>
          <t>Start month (1-12)</t>
        </is>
      </c>
      <c r="D12" s="9" t="inlineStr">
        <is>
          <t>Counted AEs</t>
        </is>
      </c>
      <c r="E12" s="9" t="inlineStr">
        <is>
          <t>Month used</t>
        </is>
      </c>
    </row>
    <row r="13">
      <c r="A13" t="inlineStr">
        <is>
          <t>Hire row 1</t>
        </is>
      </c>
      <c r="B13" s="7" t="n">
        <v>2</v>
      </c>
      <c r="C13" s="7" t="n">
        <v>1</v>
      </c>
      <c r="D13" s="10">
        <f>IF(AND(N(B13)&gt;0,ROUND(N(C13),0)&gt;=1,ROUND(N(C13),0)&lt;=12),MAX(0,N(B13)),0)</f>
        <v/>
      </c>
      <c r="E13" s="10">
        <f>ROUND(N(C13),0)</f>
        <v/>
      </c>
    </row>
    <row r="14">
      <c r="A14" t="inlineStr">
        <is>
          <t>Hire row 2</t>
        </is>
      </c>
      <c r="B14" s="7" t="n">
        <v>1</v>
      </c>
      <c r="C14" s="7" t="n">
        <v>4</v>
      </c>
      <c r="D14" s="10">
        <f>IF(AND(N(B14)&gt;0,ROUND(N(C14),0)&gt;=1,ROUND(N(C14),0)&lt;=12),MAX(0,N(B14)),0)</f>
        <v/>
      </c>
      <c r="E14" s="10">
        <f>ROUND(N(C14),0)</f>
        <v/>
      </c>
    </row>
    <row r="15">
      <c r="A15" t="inlineStr">
        <is>
          <t>Hire row 3</t>
        </is>
      </c>
      <c r="B15" s="7" t="n"/>
      <c r="C15" s="7" t="n"/>
      <c r="D15" s="10">
        <f>IF(AND(N(B15)&gt;0,ROUND(N(C15),0)&gt;=1,ROUND(N(C15),0)&lt;=12),MAX(0,N(B15)),0)</f>
        <v/>
      </c>
      <c r="E15" s="10">
        <f>ROUND(N(C15),0)</f>
        <v/>
      </c>
    </row>
    <row r="16">
      <c r="A16" t="inlineStr">
        <is>
          <t>Hire row 4</t>
        </is>
      </c>
      <c r="B16" s="7" t="n"/>
      <c r="C16" s="7" t="n"/>
      <c r="D16" s="10">
        <f>IF(AND(N(B16)&gt;0,ROUND(N(C16),0)&gt;=1,ROUND(N(C16),0)&lt;=12),MAX(0,N(B16)),0)</f>
        <v/>
      </c>
      <c r="E16" s="10">
        <f>ROUND(N(C16),0)</f>
        <v/>
      </c>
    </row>
    <row r="17">
      <c r="A17" t="inlineStr">
        <is>
          <t>Hire row 5</t>
        </is>
      </c>
      <c r="B17" s="7" t="n"/>
      <c r="C17" s="7" t="n"/>
      <c r="D17" s="10">
        <f>IF(AND(N(B17)&gt;0,ROUND(N(C17),0)&gt;=1,ROUND(N(C17),0)&lt;=12),MAX(0,N(B17)),0)</f>
        <v/>
      </c>
      <c r="E17" s="10">
        <f>ROUND(N(C17),0)</f>
        <v/>
      </c>
    </row>
    <row r="18">
      <c r="A18" t="inlineStr">
        <is>
          <t>Hire row 6</t>
        </is>
      </c>
      <c r="B18" s="7" t="n"/>
      <c r="C18" s="7" t="n"/>
      <c r="D18" s="10">
        <f>IF(AND(N(B18)&gt;0,ROUND(N(C18),0)&gt;=1,ROUND(N(C18),0)&lt;=12),MAX(0,N(B18)),0)</f>
        <v/>
      </c>
      <c r="E18" s="10">
        <f>ROUND(N(C18),0)</f>
        <v/>
      </c>
    </row>
    <row r="20">
      <c r="A20" s="3" t="inlineStr">
        <is>
          <t>Bookings target and pipeline</t>
        </is>
      </c>
      <c r="B20" s="4" t="n"/>
      <c r="C20" s="4" t="n"/>
    </row>
    <row r="21">
      <c r="A21" t="inlineStr">
        <is>
          <t>New ARR bookings target (12 months)</t>
        </is>
      </c>
      <c r="B21" s="5" t="n">
        <v>3500000</v>
      </c>
    </row>
    <row r="22">
      <c r="A22" t="inlineStr">
        <is>
          <t>Average contract value (ACV)</t>
        </is>
      </c>
      <c r="B22" s="5" t="n">
        <v>30000</v>
      </c>
    </row>
    <row r="23">
      <c r="A23" t="inlineStr">
        <is>
          <t>Win rate (opportunity to closed-won)</t>
        </is>
      </c>
      <c r="B23" s="6" t="n">
        <v>0.25</v>
      </c>
    </row>
    <row r="24">
      <c r="A24" t="inlineStr">
        <is>
          <t>Sales cycle (months)</t>
        </is>
      </c>
      <c r="B24" s="11" t="n">
        <v>3</v>
      </c>
    </row>
    <row r="25">
      <c r="A25" t="inlineStr">
        <is>
          <t>Open pipeline today</t>
        </is>
      </c>
      <c r="B25" s="5" t="n">
        <v>2500000</v>
      </c>
    </row>
    <row r="26">
      <c r="A26" t="inlineStr">
        <is>
          <t>Size the pipeline for</t>
        </is>
      </c>
      <c r="B26" s="12" t="inlineStr">
        <is>
          <t>The bookings target</t>
        </is>
      </c>
    </row>
    <row r="28">
      <c r="A28" s="3" t="inlineStr">
        <is>
          <t>Model parameters</t>
        </is>
      </c>
      <c r="B28" s="4" t="n"/>
      <c r="C28" s="4" t="n"/>
    </row>
    <row r="29">
      <c r="A29" t="inlineStr">
        <is>
          <t>Ramp months used</t>
        </is>
      </c>
      <c r="B29" s="13">
        <f>ROUND(MAX(0,$B$8),0)</f>
        <v/>
      </c>
    </row>
    <row r="30">
      <c r="A30" t="inlineStr">
        <is>
          <t>Monthly AE survival</t>
        </is>
      </c>
      <c r="B30" s="14">
        <f>(1-MIN(MAX($B$9,0),0.999))^(1/12)</f>
        <v/>
      </c>
    </row>
    <row r="31">
      <c r="A31" t="inlineStr">
        <is>
          <t>Bookings per ramped AE per month</t>
        </is>
      </c>
      <c r="B31" s="15">
        <f>MAX(0,$B$5)*MAX(0,$B$6)/12</f>
        <v/>
      </c>
    </row>
    <row r="32">
      <c r="A32" t="inlineStr">
        <is>
          <t>Win rate used</t>
        </is>
      </c>
      <c r="B32" s="16">
        <f>MAX(0,$B$23)</f>
        <v/>
      </c>
    </row>
    <row r="33">
      <c r="A33" t="inlineStr">
        <is>
          <t>Sales cycle, whole months</t>
        </is>
      </c>
      <c r="B33" s="13">
        <f>ROUND(MAX(0,$B$24),0)</f>
        <v/>
      </c>
    </row>
    <row r="35">
      <c r="A35" s="3" t="inlineStr">
        <is>
          <t>Results</t>
        </is>
      </c>
      <c r="B35" s="4" t="n"/>
      <c r="C35" s="4" t="n"/>
    </row>
    <row r="36">
      <c r="A36" s="9" t="inlineStr">
        <is>
          <t>Bookings capacity, next 12 months</t>
        </is>
      </c>
      <c r="B36" s="17">
        <f>Monthly!$E$14</f>
        <v/>
      </c>
    </row>
    <row r="37">
      <c r="A37" t="inlineStr">
        <is>
          <t>Gap to target (negative = cushion)</t>
        </is>
      </c>
      <c r="B37" s="15">
        <f>MAX(0,$B$21)-$B$36</f>
        <v/>
      </c>
    </row>
    <row r="38">
      <c r="A38" t="inlineStr">
        <is>
          <t>Productive AE-years</t>
        </is>
      </c>
      <c r="B38" s="18">
        <f>Monthly!$D$14/12</f>
        <v/>
      </c>
    </row>
    <row r="39">
      <c r="A39" t="inlineStr">
        <is>
          <t>Bookings per ramped AE per year</t>
        </is>
      </c>
      <c r="B39" s="15">
        <f>$B$31*12</f>
        <v/>
      </c>
    </row>
    <row r="40">
      <c r="A40" t="inlineStr">
        <is>
          <t>AEs on the team in month 12</t>
        </is>
      </c>
      <c r="B40" s="19">
        <f>Monthly!$C$13</f>
        <v/>
      </c>
    </row>
    <row r="41">
      <c r="A41" t="inlineStr">
        <is>
          <t>Bookings the pipeline is sized for</t>
        </is>
      </c>
      <c r="B41" s="15">
        <f>IF($B$26="The team's bookings capacity",$B$36,MAX(0,$B$21))</f>
        <v/>
      </c>
    </row>
    <row r="42">
      <c r="A42" t="inlineStr">
        <is>
          <t>Pipeline coverage needed (1 / win rate)</t>
        </is>
      </c>
      <c r="B42" s="20">
        <f>IF($B$32&gt;0,1/$B$32,"-")</f>
        <v/>
      </c>
    </row>
    <row r="43">
      <c r="A43" t="inlineStr">
        <is>
          <t>Bookings due within one sales cycle</t>
        </is>
      </c>
      <c r="B43" s="15">
        <f>SUMPRODUCT(Monthly!$F$2:$F$13,Monthly!$H$2:$H$13)+MAX(0,MAX(0,$B$24)-12)*Monthly!$F$13</f>
        <v/>
      </c>
    </row>
    <row r="44">
      <c r="A44" t="inlineStr">
        <is>
          <t>Open pipeline needed today</t>
        </is>
      </c>
      <c r="B44" s="15">
        <f>IF($B$32&gt;0,$B$43/$B$32,"-")</f>
        <v/>
      </c>
    </row>
    <row r="45">
      <c r="A45" t="inlineStr">
        <is>
          <t>Your coverage of those bookings</t>
        </is>
      </c>
      <c r="B45" s="20">
        <f>IF($B$43&gt;0,MAX(0,$B$25)/$B$43,"-")</f>
        <v/>
      </c>
    </row>
    <row r="46">
      <c r="A46" t="inlineStr">
        <is>
          <t>Pipeline shortfall</t>
        </is>
      </c>
      <c r="B46" s="15">
        <f>IF($B$32&gt;0,MAX(0,$B$44-MAX(0,$B$25)),"-")</f>
        <v/>
      </c>
    </row>
    <row r="47">
      <c r="A47" t="inlineStr">
        <is>
          <t>Pipeline to create over the year</t>
        </is>
      </c>
      <c r="B47" s="15">
        <f>IF($B$32&gt;0,$B$41/$B$32,"-")</f>
        <v/>
      </c>
    </row>
    <row r="48">
      <c r="A48" t="inlineStr">
        <is>
          <t>Deals to close</t>
        </is>
      </c>
      <c r="B48" s="13">
        <f>IF($B$22&gt;0,$B$41/$B$22,"-")</f>
        <v/>
      </c>
    </row>
    <row r="50">
      <c r="A50" s="3" t="inlineStr">
        <is>
          <t>Extra AEs to close the gap</t>
        </is>
      </c>
      <c r="B50" s="4" t="n"/>
      <c r="C50" s="4" t="n"/>
    </row>
    <row r="51">
      <c r="A51" s="8" t="inlineStr">
        <is>
          <t>Extra AEs start in</t>
        </is>
      </c>
      <c r="B51" s="8" t="inlineStr">
        <is>
          <t>Each adds this year</t>
        </is>
      </c>
      <c r="C51" s="8" t="inlineStr">
        <is>
          <t>AEs needed</t>
        </is>
      </c>
    </row>
    <row r="52">
      <c r="A52" t="inlineStr">
        <is>
          <t>Month 1</t>
        </is>
      </c>
      <c r="B52" s="21">
        <f>'Ramp grid'!$N$3</f>
        <v/>
      </c>
      <c r="C52" s="10">
        <f>IF($B$37&gt;0.5,IF(B52&lt;=0.000000001,"not possible",ROUNDUP($B$37/B52-0.000000001,0)),0)</f>
        <v/>
      </c>
    </row>
    <row r="53">
      <c r="A53" t="inlineStr">
        <is>
          <t>Month 2</t>
        </is>
      </c>
      <c r="B53" s="21">
        <f>'Ramp grid'!$N$4</f>
        <v/>
      </c>
      <c r="C53" s="10">
        <f>IF($B$37&gt;0.5,IF(B53&lt;=0.000000001,"not possible",ROUNDUP($B$37/B53-0.000000001,0)),0)</f>
        <v/>
      </c>
    </row>
    <row r="54">
      <c r="A54" t="inlineStr">
        <is>
          <t>Month 3</t>
        </is>
      </c>
      <c r="B54" s="21">
        <f>'Ramp grid'!$N$5</f>
        <v/>
      </c>
      <c r="C54" s="10">
        <f>IF($B$37&gt;0.5,IF(B54&lt;=0.000000001,"not possible",ROUNDUP($B$37/B54-0.000000001,0)),0)</f>
        <v/>
      </c>
    </row>
    <row r="55">
      <c r="A55" t="inlineStr">
        <is>
          <t>Month 4</t>
        </is>
      </c>
      <c r="B55" s="21">
        <f>'Ramp grid'!$N$6</f>
        <v/>
      </c>
      <c r="C55" s="10">
        <f>IF($B$37&gt;0.5,IF(B55&lt;=0.000000001,"not possible",ROUNDUP($B$37/B55-0.000000001,0)),0)</f>
        <v/>
      </c>
    </row>
    <row r="56">
      <c r="A56" t="inlineStr">
        <is>
          <t>Month 6</t>
        </is>
      </c>
      <c r="B56" s="21">
        <f>'Ramp grid'!$N$8</f>
        <v/>
      </c>
      <c r="C56" s="10">
        <f>IF($B$37&gt;0.5,IF(B56&lt;=0.000000001,"not possible",ROUNDUP($B$37/B56-0.000000001,0)),0)</f>
        <v/>
      </c>
    </row>
    <row r="57">
      <c r="A57" t="inlineStr">
        <is>
          <t>Month 9</t>
        </is>
      </c>
      <c r="B57" s="21">
        <f>'Ramp grid'!$N$11</f>
        <v/>
      </c>
      <c r="C57" s="10">
        <f>IF($B$37&gt;0.5,IF(B57&lt;=0.000000001,"not possible",ROUNDUP($B$37/B57-0.000000001,0)),0)</f>
        <v/>
      </c>
    </row>
    <row r="58">
      <c r="A58" t="inlineStr">
        <is>
          <t>Latest start month for one extra AE to close the gap</t>
        </is>
      </c>
      <c r="B58" s="13">
        <f>IF($B$37&lt;=0.5,"No gap",IF(COUNT('Ramp grid'!$O$3:$O$14)=0,"None this year",MAX('Ramp grid'!$O$3:$O$14)))</f>
        <v/>
      </c>
    </row>
  </sheetData>
  <dataValidations count="1">
    <dataValidation sqref="B26" showDropDown="0" showInputMessage="0" showErrorMessage="0" allowBlank="0" type="list">
      <formula1>"The bookings target,The team's bookings capacity"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8" customWidth="1" min="14" max="14"/>
    <col width="18" customWidth="1" min="15" max="15"/>
  </cols>
  <sheetData>
    <row r="1">
      <c r="A1" s="9" t="inlineStr">
        <is>
          <t>One AE starting in month m, effective output in month t (survival x ramp)</t>
        </is>
      </c>
    </row>
    <row r="2">
      <c r="A2" s="8" t="inlineStr">
        <is>
          <t>Start month m</t>
        </is>
      </c>
      <c r="B2" s="8" t="inlineStr">
        <is>
          <t>t=1</t>
        </is>
      </c>
      <c r="C2" s="8" t="inlineStr">
        <is>
          <t>t=2</t>
        </is>
      </c>
      <c r="D2" s="8" t="inlineStr">
        <is>
          <t>t=3</t>
        </is>
      </c>
      <c r="E2" s="8" t="inlineStr">
        <is>
          <t>t=4</t>
        </is>
      </c>
      <c r="F2" s="8" t="inlineStr">
        <is>
          <t>t=5</t>
        </is>
      </c>
      <c r="G2" s="8" t="inlineStr">
        <is>
          <t>t=6</t>
        </is>
      </c>
      <c r="H2" s="8" t="inlineStr">
        <is>
          <t>t=7</t>
        </is>
      </c>
      <c r="I2" s="8" t="inlineStr">
        <is>
          <t>t=8</t>
        </is>
      </c>
      <c r="J2" s="8" t="inlineStr">
        <is>
          <t>t=9</t>
        </is>
      </c>
      <c r="K2" s="8" t="inlineStr">
        <is>
          <t>t=10</t>
        </is>
      </c>
      <c r="L2" s="8" t="inlineStr">
        <is>
          <t>t=11</t>
        </is>
      </c>
      <c r="M2" s="8" t="inlineStr">
        <is>
          <t>t=12</t>
        </is>
      </c>
      <c r="N2" s="8" t="inlineStr">
        <is>
          <t>Bookings this year</t>
        </is>
      </c>
      <c r="O2" s="8" t="inlineStr">
        <is>
          <t>Closes gap alone?</t>
        </is>
      </c>
    </row>
    <row r="3">
      <c r="A3" t="n">
        <v>1</v>
      </c>
      <c r="B3" s="22">
        <f>Calculator!$B$30^(0)*MIN(1,1/(Calculator!$B$29+1))</f>
        <v/>
      </c>
      <c r="C3" s="22">
        <f>Calculator!$B$30^(1)*MIN(1,2/(Calculator!$B$29+1))</f>
        <v/>
      </c>
      <c r="D3" s="22">
        <f>Calculator!$B$30^(2)*MIN(1,3/(Calculator!$B$29+1))</f>
        <v/>
      </c>
      <c r="E3" s="22">
        <f>Calculator!$B$30^(3)*MIN(1,4/(Calculator!$B$29+1))</f>
        <v/>
      </c>
      <c r="F3" s="22">
        <f>Calculator!$B$30^(4)*MIN(1,5/(Calculator!$B$29+1))</f>
        <v/>
      </c>
      <c r="G3" s="22">
        <f>Calculator!$B$30^(5)*MIN(1,6/(Calculator!$B$29+1))</f>
        <v/>
      </c>
      <c r="H3" s="22">
        <f>Calculator!$B$30^(6)*MIN(1,7/(Calculator!$B$29+1))</f>
        <v/>
      </c>
      <c r="I3" s="22">
        <f>Calculator!$B$30^(7)*MIN(1,8/(Calculator!$B$29+1))</f>
        <v/>
      </c>
      <c r="J3" s="22">
        <f>Calculator!$B$30^(8)*MIN(1,9/(Calculator!$B$29+1))</f>
        <v/>
      </c>
      <c r="K3" s="22">
        <f>Calculator!$B$30^(9)*MIN(1,10/(Calculator!$B$29+1))</f>
        <v/>
      </c>
      <c r="L3" s="22">
        <f>Calculator!$B$30^(10)*MIN(1,11/(Calculator!$B$29+1))</f>
        <v/>
      </c>
      <c r="M3" s="22">
        <f>Calculator!$B$30^(11)*MIN(1,12/(Calculator!$B$29+1))</f>
        <v/>
      </c>
      <c r="N3" s="21">
        <f>Calculator!$B$31*SUM(B3:M3)</f>
        <v/>
      </c>
      <c r="O3" s="10">
        <f>IF(N3&gt;=Calculator!$B$37-0.000001,A3,"")</f>
        <v/>
      </c>
    </row>
    <row r="4">
      <c r="A4" t="n">
        <v>2</v>
      </c>
      <c r="B4" t="n">
        <v>0</v>
      </c>
      <c r="C4" s="22">
        <f>Calculator!$B$30^(0)*MIN(1,1/(Calculator!$B$29+1))</f>
        <v/>
      </c>
      <c r="D4" s="22">
        <f>Calculator!$B$30^(1)*MIN(1,2/(Calculator!$B$29+1))</f>
        <v/>
      </c>
      <c r="E4" s="22">
        <f>Calculator!$B$30^(2)*MIN(1,3/(Calculator!$B$29+1))</f>
        <v/>
      </c>
      <c r="F4" s="22">
        <f>Calculator!$B$30^(3)*MIN(1,4/(Calculator!$B$29+1))</f>
        <v/>
      </c>
      <c r="G4" s="22">
        <f>Calculator!$B$30^(4)*MIN(1,5/(Calculator!$B$29+1))</f>
        <v/>
      </c>
      <c r="H4" s="22">
        <f>Calculator!$B$30^(5)*MIN(1,6/(Calculator!$B$29+1))</f>
        <v/>
      </c>
      <c r="I4" s="22">
        <f>Calculator!$B$30^(6)*MIN(1,7/(Calculator!$B$29+1))</f>
        <v/>
      </c>
      <c r="J4" s="22">
        <f>Calculator!$B$30^(7)*MIN(1,8/(Calculator!$B$29+1))</f>
        <v/>
      </c>
      <c r="K4" s="22">
        <f>Calculator!$B$30^(8)*MIN(1,9/(Calculator!$B$29+1))</f>
        <v/>
      </c>
      <c r="L4" s="22">
        <f>Calculator!$B$30^(9)*MIN(1,10/(Calculator!$B$29+1))</f>
        <v/>
      </c>
      <c r="M4" s="22">
        <f>Calculator!$B$30^(10)*MIN(1,11/(Calculator!$B$29+1))</f>
        <v/>
      </c>
      <c r="N4" s="21">
        <f>Calculator!$B$31*SUM(B4:M4)</f>
        <v/>
      </c>
      <c r="O4" s="10">
        <f>IF(N4&gt;=Calculator!$B$37-0.000001,A4,"")</f>
        <v/>
      </c>
    </row>
    <row r="5">
      <c r="A5" t="n">
        <v>3</v>
      </c>
      <c r="B5" t="n">
        <v>0</v>
      </c>
      <c r="C5" t="n">
        <v>0</v>
      </c>
      <c r="D5" s="22">
        <f>Calculator!$B$30^(0)*MIN(1,1/(Calculator!$B$29+1))</f>
        <v/>
      </c>
      <c r="E5" s="22">
        <f>Calculator!$B$30^(1)*MIN(1,2/(Calculator!$B$29+1))</f>
        <v/>
      </c>
      <c r="F5" s="22">
        <f>Calculator!$B$30^(2)*MIN(1,3/(Calculator!$B$29+1))</f>
        <v/>
      </c>
      <c r="G5" s="22">
        <f>Calculator!$B$30^(3)*MIN(1,4/(Calculator!$B$29+1))</f>
        <v/>
      </c>
      <c r="H5" s="22">
        <f>Calculator!$B$30^(4)*MIN(1,5/(Calculator!$B$29+1))</f>
        <v/>
      </c>
      <c r="I5" s="22">
        <f>Calculator!$B$30^(5)*MIN(1,6/(Calculator!$B$29+1))</f>
        <v/>
      </c>
      <c r="J5" s="22">
        <f>Calculator!$B$30^(6)*MIN(1,7/(Calculator!$B$29+1))</f>
        <v/>
      </c>
      <c r="K5" s="22">
        <f>Calculator!$B$30^(7)*MIN(1,8/(Calculator!$B$29+1))</f>
        <v/>
      </c>
      <c r="L5" s="22">
        <f>Calculator!$B$30^(8)*MIN(1,9/(Calculator!$B$29+1))</f>
        <v/>
      </c>
      <c r="M5" s="22">
        <f>Calculator!$B$30^(9)*MIN(1,10/(Calculator!$B$29+1))</f>
        <v/>
      </c>
      <c r="N5" s="21">
        <f>Calculator!$B$31*SUM(B5:M5)</f>
        <v/>
      </c>
      <c r="O5" s="10">
        <f>IF(N5&gt;=Calculator!$B$37-0.000001,A5,"")</f>
        <v/>
      </c>
    </row>
    <row r="6">
      <c r="A6" t="n">
        <v>4</v>
      </c>
      <c r="B6" t="n">
        <v>0</v>
      </c>
      <c r="C6" t="n">
        <v>0</v>
      </c>
      <c r="D6" t="n">
        <v>0</v>
      </c>
      <c r="E6" s="22">
        <f>Calculator!$B$30^(0)*MIN(1,1/(Calculator!$B$29+1))</f>
        <v/>
      </c>
      <c r="F6" s="22">
        <f>Calculator!$B$30^(1)*MIN(1,2/(Calculator!$B$29+1))</f>
        <v/>
      </c>
      <c r="G6" s="22">
        <f>Calculator!$B$30^(2)*MIN(1,3/(Calculator!$B$29+1))</f>
        <v/>
      </c>
      <c r="H6" s="22">
        <f>Calculator!$B$30^(3)*MIN(1,4/(Calculator!$B$29+1))</f>
        <v/>
      </c>
      <c r="I6" s="22">
        <f>Calculator!$B$30^(4)*MIN(1,5/(Calculator!$B$29+1))</f>
        <v/>
      </c>
      <c r="J6" s="22">
        <f>Calculator!$B$30^(5)*MIN(1,6/(Calculator!$B$29+1))</f>
        <v/>
      </c>
      <c r="K6" s="22">
        <f>Calculator!$B$30^(6)*MIN(1,7/(Calculator!$B$29+1))</f>
        <v/>
      </c>
      <c r="L6" s="22">
        <f>Calculator!$B$30^(7)*MIN(1,8/(Calculator!$B$29+1))</f>
        <v/>
      </c>
      <c r="M6" s="22">
        <f>Calculator!$B$30^(8)*MIN(1,9/(Calculator!$B$29+1))</f>
        <v/>
      </c>
      <c r="N6" s="21">
        <f>Calculator!$B$31*SUM(B6:M6)</f>
        <v/>
      </c>
      <c r="O6" s="10">
        <f>IF(N6&gt;=Calculator!$B$37-0.000001,A6,"")</f>
        <v/>
      </c>
    </row>
    <row r="7">
      <c r="A7" t="n">
        <v>5</v>
      </c>
      <c r="B7" t="n">
        <v>0</v>
      </c>
      <c r="C7" t="n">
        <v>0</v>
      </c>
      <c r="D7" t="n">
        <v>0</v>
      </c>
      <c r="E7" t="n">
        <v>0</v>
      </c>
      <c r="F7" s="22">
        <f>Calculator!$B$30^(0)*MIN(1,1/(Calculator!$B$29+1))</f>
        <v/>
      </c>
      <c r="G7" s="22">
        <f>Calculator!$B$30^(1)*MIN(1,2/(Calculator!$B$29+1))</f>
        <v/>
      </c>
      <c r="H7" s="22">
        <f>Calculator!$B$30^(2)*MIN(1,3/(Calculator!$B$29+1))</f>
        <v/>
      </c>
      <c r="I7" s="22">
        <f>Calculator!$B$30^(3)*MIN(1,4/(Calculator!$B$29+1))</f>
        <v/>
      </c>
      <c r="J7" s="22">
        <f>Calculator!$B$30^(4)*MIN(1,5/(Calculator!$B$29+1))</f>
        <v/>
      </c>
      <c r="K7" s="22">
        <f>Calculator!$B$30^(5)*MIN(1,6/(Calculator!$B$29+1))</f>
        <v/>
      </c>
      <c r="L7" s="22">
        <f>Calculator!$B$30^(6)*MIN(1,7/(Calculator!$B$29+1))</f>
        <v/>
      </c>
      <c r="M7" s="22">
        <f>Calculator!$B$30^(7)*MIN(1,8/(Calculator!$B$29+1))</f>
        <v/>
      </c>
      <c r="N7" s="21">
        <f>Calculator!$B$31*SUM(B7:M7)</f>
        <v/>
      </c>
      <c r="O7" s="10">
        <f>IF(N7&gt;=Calculator!$B$37-0.000001,A7,"")</f>
        <v/>
      </c>
    </row>
    <row r="8">
      <c r="A8" t="n">
        <v>6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s="22">
        <f>Calculator!$B$30^(0)*MIN(1,1/(Calculator!$B$29+1))</f>
        <v/>
      </c>
      <c r="H8" s="22">
        <f>Calculator!$B$30^(1)*MIN(1,2/(Calculator!$B$29+1))</f>
        <v/>
      </c>
      <c r="I8" s="22">
        <f>Calculator!$B$30^(2)*MIN(1,3/(Calculator!$B$29+1))</f>
        <v/>
      </c>
      <c r="J8" s="22">
        <f>Calculator!$B$30^(3)*MIN(1,4/(Calculator!$B$29+1))</f>
        <v/>
      </c>
      <c r="K8" s="22">
        <f>Calculator!$B$30^(4)*MIN(1,5/(Calculator!$B$29+1))</f>
        <v/>
      </c>
      <c r="L8" s="22">
        <f>Calculator!$B$30^(5)*MIN(1,6/(Calculator!$B$29+1))</f>
        <v/>
      </c>
      <c r="M8" s="22">
        <f>Calculator!$B$30^(6)*MIN(1,7/(Calculator!$B$29+1))</f>
        <v/>
      </c>
      <c r="N8" s="21">
        <f>Calculator!$B$31*SUM(B8:M8)</f>
        <v/>
      </c>
      <c r="O8" s="10">
        <f>IF(N8&gt;=Calculator!$B$37-0.000001,A8,"")</f>
        <v/>
      </c>
    </row>
    <row r="9">
      <c r="A9" t="n">
        <v>7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s="22">
        <f>Calculator!$B$30^(0)*MIN(1,1/(Calculator!$B$29+1))</f>
        <v/>
      </c>
      <c r="I9" s="22">
        <f>Calculator!$B$30^(1)*MIN(1,2/(Calculator!$B$29+1))</f>
        <v/>
      </c>
      <c r="J9" s="22">
        <f>Calculator!$B$30^(2)*MIN(1,3/(Calculator!$B$29+1))</f>
        <v/>
      </c>
      <c r="K9" s="22">
        <f>Calculator!$B$30^(3)*MIN(1,4/(Calculator!$B$29+1))</f>
        <v/>
      </c>
      <c r="L9" s="22">
        <f>Calculator!$B$30^(4)*MIN(1,5/(Calculator!$B$29+1))</f>
        <v/>
      </c>
      <c r="M9" s="22">
        <f>Calculator!$B$30^(5)*MIN(1,6/(Calculator!$B$29+1))</f>
        <v/>
      </c>
      <c r="N9" s="21">
        <f>Calculator!$B$31*SUM(B9:M9)</f>
        <v/>
      </c>
      <c r="O9" s="10">
        <f>IF(N9&gt;=Calculator!$B$37-0.000001,A9,"")</f>
        <v/>
      </c>
    </row>
    <row r="10">
      <c r="A10" t="n">
        <v>8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s="22">
        <f>Calculator!$B$30^(0)*MIN(1,1/(Calculator!$B$29+1))</f>
        <v/>
      </c>
      <c r="J10" s="22">
        <f>Calculator!$B$30^(1)*MIN(1,2/(Calculator!$B$29+1))</f>
        <v/>
      </c>
      <c r="K10" s="22">
        <f>Calculator!$B$30^(2)*MIN(1,3/(Calculator!$B$29+1))</f>
        <v/>
      </c>
      <c r="L10" s="22">
        <f>Calculator!$B$30^(3)*MIN(1,4/(Calculator!$B$29+1))</f>
        <v/>
      </c>
      <c r="M10" s="22">
        <f>Calculator!$B$30^(4)*MIN(1,5/(Calculator!$B$29+1))</f>
        <v/>
      </c>
      <c r="N10" s="21">
        <f>Calculator!$B$31*SUM(B10:M10)</f>
        <v/>
      </c>
      <c r="O10" s="10">
        <f>IF(N10&gt;=Calculator!$B$37-0.000001,A10,"")</f>
        <v/>
      </c>
    </row>
    <row r="11">
      <c r="A11" t="n">
        <v>9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s="22">
        <f>Calculator!$B$30^(0)*MIN(1,1/(Calculator!$B$29+1))</f>
        <v/>
      </c>
      <c r="K11" s="22">
        <f>Calculator!$B$30^(1)*MIN(1,2/(Calculator!$B$29+1))</f>
        <v/>
      </c>
      <c r="L11" s="22">
        <f>Calculator!$B$30^(2)*MIN(1,3/(Calculator!$B$29+1))</f>
        <v/>
      </c>
      <c r="M11" s="22">
        <f>Calculator!$B$30^(3)*MIN(1,4/(Calculator!$B$29+1))</f>
        <v/>
      </c>
      <c r="N11" s="21">
        <f>Calculator!$B$31*SUM(B11:M11)</f>
        <v/>
      </c>
      <c r="O11" s="10">
        <f>IF(N11&gt;=Calculator!$B$37-0.000001,A11,"")</f>
        <v/>
      </c>
    </row>
    <row r="12">
      <c r="A12" t="n">
        <v>10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s="22">
        <f>Calculator!$B$30^(0)*MIN(1,1/(Calculator!$B$29+1))</f>
        <v/>
      </c>
      <c r="L12" s="22">
        <f>Calculator!$B$30^(1)*MIN(1,2/(Calculator!$B$29+1))</f>
        <v/>
      </c>
      <c r="M12" s="22">
        <f>Calculator!$B$30^(2)*MIN(1,3/(Calculator!$B$29+1))</f>
        <v/>
      </c>
      <c r="N12" s="21">
        <f>Calculator!$B$31*SUM(B12:M12)</f>
        <v/>
      </c>
      <c r="O12" s="10">
        <f>IF(N12&gt;=Calculator!$B$37-0.000001,A12,"")</f>
        <v/>
      </c>
    </row>
    <row r="13">
      <c r="A13" t="n">
        <v>11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s="22">
        <f>Calculator!$B$30^(0)*MIN(1,1/(Calculator!$B$29+1))</f>
        <v/>
      </c>
      <c r="M13" s="22">
        <f>Calculator!$B$30^(1)*MIN(1,2/(Calculator!$B$29+1))</f>
        <v/>
      </c>
      <c r="N13" s="21">
        <f>Calculator!$B$31*SUM(B13:M13)</f>
        <v/>
      </c>
      <c r="O13" s="10">
        <f>IF(N13&gt;=Calculator!$B$37-0.000001,A13,"")</f>
        <v/>
      </c>
    </row>
    <row r="14">
      <c r="A14" t="n">
        <v>12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s="22">
        <f>Calculator!$B$30^(0)*MIN(1,1/(Calculator!$B$29+1))</f>
        <v/>
      </c>
      <c r="N14" s="21">
        <f>Calculator!$B$31*SUM(B14:M14)</f>
        <v/>
      </c>
      <c r="O14" s="10">
        <f>IF(N14&gt;=Calculator!$B$37-0.000001,A14,"")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2" customWidth="1" min="4" max="4"/>
    <col width="16" customWidth="1" min="5" max="5"/>
    <col width="16" customWidth="1" min="6" max="6"/>
    <col width="18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>
      <c r="A1" s="8" t="inlineStr">
        <is>
          <t>Month</t>
        </is>
      </c>
      <c r="B1" s="8" t="inlineStr">
        <is>
          <t>Hired</t>
        </is>
      </c>
      <c r="C1" s="8" t="inlineStr">
        <is>
          <t>AEs (heads)</t>
        </is>
      </c>
      <c r="D1" s="8" t="inlineStr">
        <is>
          <t>Effective AEs</t>
        </is>
      </c>
      <c r="E1" s="8" t="inlineStr">
        <is>
          <t>Bookings capacity</t>
        </is>
      </c>
      <c r="F1" s="8" t="inlineStr">
        <is>
          <t>Planned bookings</t>
        </is>
      </c>
      <c r="G1" s="8" t="inlineStr">
        <is>
          <t>Pipeline to create</t>
        </is>
      </c>
      <c r="H1" s="8" t="inlineStr">
        <is>
          <t>Cycle weight</t>
        </is>
      </c>
      <c r="I1" s="8" t="inlineStr">
        <is>
          <t>Eff. row 1</t>
        </is>
      </c>
      <c r="J1" s="8" t="inlineStr">
        <is>
          <t>Eff. row 2</t>
        </is>
      </c>
      <c r="K1" s="8" t="inlineStr">
        <is>
          <t>Eff. row 3</t>
        </is>
      </c>
      <c r="L1" s="8" t="inlineStr">
        <is>
          <t>Eff. row 4</t>
        </is>
      </c>
      <c r="M1" s="8" t="inlineStr">
        <is>
          <t>Eff. row 5</t>
        </is>
      </c>
      <c r="N1" s="8" t="inlineStr">
        <is>
          <t>Eff. row 6</t>
        </is>
      </c>
      <c r="O1" s="8" t="inlineStr">
        <is>
          <t>Heads row 1</t>
        </is>
      </c>
      <c r="P1" s="8" t="inlineStr">
        <is>
          <t>Heads row 2</t>
        </is>
      </c>
      <c r="Q1" s="8" t="inlineStr">
        <is>
          <t>Heads row 3</t>
        </is>
      </c>
      <c r="R1" s="8" t="inlineStr">
        <is>
          <t>Heads row 4</t>
        </is>
      </c>
      <c r="S1" s="8" t="inlineStr">
        <is>
          <t>Heads row 5</t>
        </is>
      </c>
      <c r="T1" s="8" t="inlineStr">
        <is>
          <t>Heads row 6</t>
        </is>
      </c>
    </row>
    <row r="2">
      <c r="A2" t="n">
        <v>1</v>
      </c>
      <c r="B2" s="10">
        <f>SUMPRODUCT((Calculator!$E$13:$E$18=A2)*Calculator!$D$13:$D$18)</f>
        <v/>
      </c>
      <c r="C2" s="23">
        <f>MAX(0,Calculator!$B$7)*Calculator!$B$30^(A2-1)+SUM(O2:T2)</f>
        <v/>
      </c>
      <c r="D2" s="24">
        <f>MAX(0,Calculator!$B$7)*Calculator!$B$30^(A2-1)+SUM(I2:N2)</f>
        <v/>
      </c>
      <c r="E2" s="21">
        <f>D2*Calculator!$B$31</f>
        <v/>
      </c>
      <c r="F2" s="21">
        <f>IF(Calculator!$B$26="The team's bookings capacity",E2,MAX(0,Calculator!$B$21)/12)</f>
        <v/>
      </c>
      <c r="G2" s="21">
        <f>IF(Calculator!$B$32&gt;0,INDEX($F$2:$F$13,MIN(A2+Calculator!$B$33,12))/Calculator!$B$32,"-")</f>
        <v/>
      </c>
      <c r="H2" s="24">
        <f>MAX(0,MIN(1,MAX(0,Calculator!$B$24)-(A2-1)))</f>
        <v/>
      </c>
      <c r="I2" s="22">
        <f>IF(AND(Calculator!$D$13&gt;0,A2&gt;=Calculator!$E$13),Calculator!$D$13*INDEX('Ramp grid'!$A$3:$M$14,Calculator!$E$13,A2+1),0)</f>
        <v/>
      </c>
      <c r="J2" s="22">
        <f>IF(AND(Calculator!$D$14&gt;0,A2&gt;=Calculator!$E$14),Calculator!$D$14*INDEX('Ramp grid'!$A$3:$M$14,Calculator!$E$14,A2+1),0)</f>
        <v/>
      </c>
      <c r="K2" s="22">
        <f>IF(AND(Calculator!$D$15&gt;0,A2&gt;=Calculator!$E$15),Calculator!$D$15*INDEX('Ramp grid'!$A$3:$M$14,Calculator!$E$15,A2+1),0)</f>
        <v/>
      </c>
      <c r="L2" s="22">
        <f>IF(AND(Calculator!$D$16&gt;0,A2&gt;=Calculator!$E$16),Calculator!$D$16*INDEX('Ramp grid'!$A$3:$M$14,Calculator!$E$16,A2+1),0)</f>
        <v/>
      </c>
      <c r="M2" s="22">
        <f>IF(AND(Calculator!$D$17&gt;0,A2&gt;=Calculator!$E$17),Calculator!$D$17*INDEX('Ramp grid'!$A$3:$M$14,Calculator!$E$17,A2+1),0)</f>
        <v/>
      </c>
      <c r="N2" s="22">
        <f>IF(AND(Calculator!$D$18&gt;0,A2&gt;=Calculator!$E$18),Calculator!$D$18*INDEX('Ramp grid'!$A$3:$M$14,Calculator!$E$18,A2+1),0)</f>
        <v/>
      </c>
      <c r="O2" s="24">
        <f>IF(AND(Calculator!$D$13&gt;0,A2&gt;=Calculator!$E$13),Calculator!$D$13*Calculator!$B$30^(A2-Calculator!$E$13),0)</f>
        <v/>
      </c>
      <c r="P2" s="24">
        <f>IF(AND(Calculator!$D$14&gt;0,A2&gt;=Calculator!$E$14),Calculator!$D$14*Calculator!$B$30^(A2-Calculator!$E$14),0)</f>
        <v/>
      </c>
      <c r="Q2" s="24">
        <f>IF(AND(Calculator!$D$15&gt;0,A2&gt;=Calculator!$E$15),Calculator!$D$15*Calculator!$B$30^(A2-Calculator!$E$15),0)</f>
        <v/>
      </c>
      <c r="R2" s="24">
        <f>IF(AND(Calculator!$D$16&gt;0,A2&gt;=Calculator!$E$16),Calculator!$D$16*Calculator!$B$30^(A2-Calculator!$E$16),0)</f>
        <v/>
      </c>
      <c r="S2" s="24">
        <f>IF(AND(Calculator!$D$17&gt;0,A2&gt;=Calculator!$E$17),Calculator!$D$17*Calculator!$B$30^(A2-Calculator!$E$17),0)</f>
        <v/>
      </c>
      <c r="T2" s="24">
        <f>IF(AND(Calculator!$D$18&gt;0,A2&gt;=Calculator!$E$18),Calculator!$D$18*Calculator!$B$30^(A2-Calculator!$E$18),0)</f>
        <v/>
      </c>
    </row>
    <row r="3">
      <c r="A3" t="n">
        <v>2</v>
      </c>
      <c r="B3" s="10">
        <f>SUMPRODUCT((Calculator!$E$13:$E$18=A3)*Calculator!$D$13:$D$18)</f>
        <v/>
      </c>
      <c r="C3" s="23">
        <f>MAX(0,Calculator!$B$7)*Calculator!$B$30^(A3-1)+SUM(O3:T3)</f>
        <v/>
      </c>
      <c r="D3" s="24">
        <f>MAX(0,Calculator!$B$7)*Calculator!$B$30^(A3-1)+SUM(I3:N3)</f>
        <v/>
      </c>
      <c r="E3" s="21">
        <f>D3*Calculator!$B$31</f>
        <v/>
      </c>
      <c r="F3" s="21">
        <f>IF(Calculator!$B$26="The team's bookings capacity",E3,MAX(0,Calculator!$B$21)/12)</f>
        <v/>
      </c>
      <c r="G3" s="21">
        <f>IF(Calculator!$B$32&gt;0,INDEX($F$2:$F$13,MIN(A3+Calculator!$B$33,12))/Calculator!$B$32,"-")</f>
        <v/>
      </c>
      <c r="H3" s="24">
        <f>MAX(0,MIN(1,MAX(0,Calculator!$B$24)-(A3-1)))</f>
        <v/>
      </c>
      <c r="I3" s="22">
        <f>IF(AND(Calculator!$D$13&gt;0,A3&gt;=Calculator!$E$13),Calculator!$D$13*INDEX('Ramp grid'!$A$3:$M$14,Calculator!$E$13,A3+1),0)</f>
        <v/>
      </c>
      <c r="J3" s="22">
        <f>IF(AND(Calculator!$D$14&gt;0,A3&gt;=Calculator!$E$14),Calculator!$D$14*INDEX('Ramp grid'!$A$3:$M$14,Calculator!$E$14,A3+1),0)</f>
        <v/>
      </c>
      <c r="K3" s="22">
        <f>IF(AND(Calculator!$D$15&gt;0,A3&gt;=Calculator!$E$15),Calculator!$D$15*INDEX('Ramp grid'!$A$3:$M$14,Calculator!$E$15,A3+1),0)</f>
        <v/>
      </c>
      <c r="L3" s="22">
        <f>IF(AND(Calculator!$D$16&gt;0,A3&gt;=Calculator!$E$16),Calculator!$D$16*INDEX('Ramp grid'!$A$3:$M$14,Calculator!$E$16,A3+1),0)</f>
        <v/>
      </c>
      <c r="M3" s="22">
        <f>IF(AND(Calculator!$D$17&gt;0,A3&gt;=Calculator!$E$17),Calculator!$D$17*INDEX('Ramp grid'!$A$3:$M$14,Calculator!$E$17,A3+1),0)</f>
        <v/>
      </c>
      <c r="N3" s="22">
        <f>IF(AND(Calculator!$D$18&gt;0,A3&gt;=Calculator!$E$18),Calculator!$D$18*INDEX('Ramp grid'!$A$3:$M$14,Calculator!$E$18,A3+1),0)</f>
        <v/>
      </c>
      <c r="O3" s="24">
        <f>IF(AND(Calculator!$D$13&gt;0,A3&gt;=Calculator!$E$13),Calculator!$D$13*Calculator!$B$30^(A3-Calculator!$E$13),0)</f>
        <v/>
      </c>
      <c r="P3" s="24">
        <f>IF(AND(Calculator!$D$14&gt;0,A3&gt;=Calculator!$E$14),Calculator!$D$14*Calculator!$B$30^(A3-Calculator!$E$14),0)</f>
        <v/>
      </c>
      <c r="Q3" s="24">
        <f>IF(AND(Calculator!$D$15&gt;0,A3&gt;=Calculator!$E$15),Calculator!$D$15*Calculator!$B$30^(A3-Calculator!$E$15),0)</f>
        <v/>
      </c>
      <c r="R3" s="24">
        <f>IF(AND(Calculator!$D$16&gt;0,A3&gt;=Calculator!$E$16),Calculator!$D$16*Calculator!$B$30^(A3-Calculator!$E$16),0)</f>
        <v/>
      </c>
      <c r="S3" s="24">
        <f>IF(AND(Calculator!$D$17&gt;0,A3&gt;=Calculator!$E$17),Calculator!$D$17*Calculator!$B$30^(A3-Calculator!$E$17),0)</f>
        <v/>
      </c>
      <c r="T3" s="24">
        <f>IF(AND(Calculator!$D$18&gt;0,A3&gt;=Calculator!$E$18),Calculator!$D$18*Calculator!$B$30^(A3-Calculator!$E$18),0)</f>
        <v/>
      </c>
    </row>
    <row r="4">
      <c r="A4" t="n">
        <v>3</v>
      </c>
      <c r="B4" s="10">
        <f>SUMPRODUCT((Calculator!$E$13:$E$18=A4)*Calculator!$D$13:$D$18)</f>
        <v/>
      </c>
      <c r="C4" s="23">
        <f>MAX(0,Calculator!$B$7)*Calculator!$B$30^(A4-1)+SUM(O4:T4)</f>
        <v/>
      </c>
      <c r="D4" s="24">
        <f>MAX(0,Calculator!$B$7)*Calculator!$B$30^(A4-1)+SUM(I4:N4)</f>
        <v/>
      </c>
      <c r="E4" s="21">
        <f>D4*Calculator!$B$31</f>
        <v/>
      </c>
      <c r="F4" s="21">
        <f>IF(Calculator!$B$26="The team's bookings capacity",E4,MAX(0,Calculator!$B$21)/12)</f>
        <v/>
      </c>
      <c r="G4" s="21">
        <f>IF(Calculator!$B$32&gt;0,INDEX($F$2:$F$13,MIN(A4+Calculator!$B$33,12))/Calculator!$B$32,"-")</f>
        <v/>
      </c>
      <c r="H4" s="24">
        <f>MAX(0,MIN(1,MAX(0,Calculator!$B$24)-(A4-1)))</f>
        <v/>
      </c>
      <c r="I4" s="22">
        <f>IF(AND(Calculator!$D$13&gt;0,A4&gt;=Calculator!$E$13),Calculator!$D$13*INDEX('Ramp grid'!$A$3:$M$14,Calculator!$E$13,A4+1),0)</f>
        <v/>
      </c>
      <c r="J4" s="22">
        <f>IF(AND(Calculator!$D$14&gt;0,A4&gt;=Calculator!$E$14),Calculator!$D$14*INDEX('Ramp grid'!$A$3:$M$14,Calculator!$E$14,A4+1),0)</f>
        <v/>
      </c>
      <c r="K4" s="22">
        <f>IF(AND(Calculator!$D$15&gt;0,A4&gt;=Calculator!$E$15),Calculator!$D$15*INDEX('Ramp grid'!$A$3:$M$14,Calculator!$E$15,A4+1),0)</f>
        <v/>
      </c>
      <c r="L4" s="22">
        <f>IF(AND(Calculator!$D$16&gt;0,A4&gt;=Calculator!$E$16),Calculator!$D$16*INDEX('Ramp grid'!$A$3:$M$14,Calculator!$E$16,A4+1),0)</f>
        <v/>
      </c>
      <c r="M4" s="22">
        <f>IF(AND(Calculator!$D$17&gt;0,A4&gt;=Calculator!$E$17),Calculator!$D$17*INDEX('Ramp grid'!$A$3:$M$14,Calculator!$E$17,A4+1),0)</f>
        <v/>
      </c>
      <c r="N4" s="22">
        <f>IF(AND(Calculator!$D$18&gt;0,A4&gt;=Calculator!$E$18),Calculator!$D$18*INDEX('Ramp grid'!$A$3:$M$14,Calculator!$E$18,A4+1),0)</f>
        <v/>
      </c>
      <c r="O4" s="24">
        <f>IF(AND(Calculator!$D$13&gt;0,A4&gt;=Calculator!$E$13),Calculator!$D$13*Calculator!$B$30^(A4-Calculator!$E$13),0)</f>
        <v/>
      </c>
      <c r="P4" s="24">
        <f>IF(AND(Calculator!$D$14&gt;0,A4&gt;=Calculator!$E$14),Calculator!$D$14*Calculator!$B$30^(A4-Calculator!$E$14),0)</f>
        <v/>
      </c>
      <c r="Q4" s="24">
        <f>IF(AND(Calculator!$D$15&gt;0,A4&gt;=Calculator!$E$15),Calculator!$D$15*Calculator!$B$30^(A4-Calculator!$E$15),0)</f>
        <v/>
      </c>
      <c r="R4" s="24">
        <f>IF(AND(Calculator!$D$16&gt;0,A4&gt;=Calculator!$E$16),Calculator!$D$16*Calculator!$B$30^(A4-Calculator!$E$16),0)</f>
        <v/>
      </c>
      <c r="S4" s="24">
        <f>IF(AND(Calculator!$D$17&gt;0,A4&gt;=Calculator!$E$17),Calculator!$D$17*Calculator!$B$30^(A4-Calculator!$E$17),0)</f>
        <v/>
      </c>
      <c r="T4" s="24">
        <f>IF(AND(Calculator!$D$18&gt;0,A4&gt;=Calculator!$E$18),Calculator!$D$18*Calculator!$B$30^(A4-Calculator!$E$18),0)</f>
        <v/>
      </c>
    </row>
    <row r="5">
      <c r="A5" t="n">
        <v>4</v>
      </c>
      <c r="B5" s="10">
        <f>SUMPRODUCT((Calculator!$E$13:$E$18=A5)*Calculator!$D$13:$D$18)</f>
        <v/>
      </c>
      <c r="C5" s="23">
        <f>MAX(0,Calculator!$B$7)*Calculator!$B$30^(A5-1)+SUM(O5:T5)</f>
        <v/>
      </c>
      <c r="D5" s="24">
        <f>MAX(0,Calculator!$B$7)*Calculator!$B$30^(A5-1)+SUM(I5:N5)</f>
        <v/>
      </c>
      <c r="E5" s="21">
        <f>D5*Calculator!$B$31</f>
        <v/>
      </c>
      <c r="F5" s="21">
        <f>IF(Calculator!$B$26="The team's bookings capacity",E5,MAX(0,Calculator!$B$21)/12)</f>
        <v/>
      </c>
      <c r="G5" s="21">
        <f>IF(Calculator!$B$32&gt;0,INDEX($F$2:$F$13,MIN(A5+Calculator!$B$33,12))/Calculator!$B$32,"-")</f>
        <v/>
      </c>
      <c r="H5" s="24">
        <f>MAX(0,MIN(1,MAX(0,Calculator!$B$24)-(A5-1)))</f>
        <v/>
      </c>
      <c r="I5" s="22">
        <f>IF(AND(Calculator!$D$13&gt;0,A5&gt;=Calculator!$E$13),Calculator!$D$13*INDEX('Ramp grid'!$A$3:$M$14,Calculator!$E$13,A5+1),0)</f>
        <v/>
      </c>
      <c r="J5" s="22">
        <f>IF(AND(Calculator!$D$14&gt;0,A5&gt;=Calculator!$E$14),Calculator!$D$14*INDEX('Ramp grid'!$A$3:$M$14,Calculator!$E$14,A5+1),0)</f>
        <v/>
      </c>
      <c r="K5" s="22">
        <f>IF(AND(Calculator!$D$15&gt;0,A5&gt;=Calculator!$E$15),Calculator!$D$15*INDEX('Ramp grid'!$A$3:$M$14,Calculator!$E$15,A5+1),0)</f>
        <v/>
      </c>
      <c r="L5" s="22">
        <f>IF(AND(Calculator!$D$16&gt;0,A5&gt;=Calculator!$E$16),Calculator!$D$16*INDEX('Ramp grid'!$A$3:$M$14,Calculator!$E$16,A5+1),0)</f>
        <v/>
      </c>
      <c r="M5" s="22">
        <f>IF(AND(Calculator!$D$17&gt;0,A5&gt;=Calculator!$E$17),Calculator!$D$17*INDEX('Ramp grid'!$A$3:$M$14,Calculator!$E$17,A5+1),0)</f>
        <v/>
      </c>
      <c r="N5" s="22">
        <f>IF(AND(Calculator!$D$18&gt;0,A5&gt;=Calculator!$E$18),Calculator!$D$18*INDEX('Ramp grid'!$A$3:$M$14,Calculator!$E$18,A5+1),0)</f>
        <v/>
      </c>
      <c r="O5" s="24">
        <f>IF(AND(Calculator!$D$13&gt;0,A5&gt;=Calculator!$E$13),Calculator!$D$13*Calculator!$B$30^(A5-Calculator!$E$13),0)</f>
        <v/>
      </c>
      <c r="P5" s="24">
        <f>IF(AND(Calculator!$D$14&gt;0,A5&gt;=Calculator!$E$14),Calculator!$D$14*Calculator!$B$30^(A5-Calculator!$E$14),0)</f>
        <v/>
      </c>
      <c r="Q5" s="24">
        <f>IF(AND(Calculator!$D$15&gt;0,A5&gt;=Calculator!$E$15),Calculator!$D$15*Calculator!$B$30^(A5-Calculator!$E$15),0)</f>
        <v/>
      </c>
      <c r="R5" s="24">
        <f>IF(AND(Calculator!$D$16&gt;0,A5&gt;=Calculator!$E$16),Calculator!$D$16*Calculator!$B$30^(A5-Calculator!$E$16),0)</f>
        <v/>
      </c>
      <c r="S5" s="24">
        <f>IF(AND(Calculator!$D$17&gt;0,A5&gt;=Calculator!$E$17),Calculator!$D$17*Calculator!$B$30^(A5-Calculator!$E$17),0)</f>
        <v/>
      </c>
      <c r="T5" s="24">
        <f>IF(AND(Calculator!$D$18&gt;0,A5&gt;=Calculator!$E$18),Calculator!$D$18*Calculator!$B$30^(A5-Calculator!$E$18),0)</f>
        <v/>
      </c>
    </row>
    <row r="6">
      <c r="A6" t="n">
        <v>5</v>
      </c>
      <c r="B6" s="10">
        <f>SUMPRODUCT((Calculator!$E$13:$E$18=A6)*Calculator!$D$13:$D$18)</f>
        <v/>
      </c>
      <c r="C6" s="23">
        <f>MAX(0,Calculator!$B$7)*Calculator!$B$30^(A6-1)+SUM(O6:T6)</f>
        <v/>
      </c>
      <c r="D6" s="24">
        <f>MAX(0,Calculator!$B$7)*Calculator!$B$30^(A6-1)+SUM(I6:N6)</f>
        <v/>
      </c>
      <c r="E6" s="21">
        <f>D6*Calculator!$B$31</f>
        <v/>
      </c>
      <c r="F6" s="21">
        <f>IF(Calculator!$B$26="The team's bookings capacity",E6,MAX(0,Calculator!$B$21)/12)</f>
        <v/>
      </c>
      <c r="G6" s="21">
        <f>IF(Calculator!$B$32&gt;0,INDEX($F$2:$F$13,MIN(A6+Calculator!$B$33,12))/Calculator!$B$32,"-")</f>
        <v/>
      </c>
      <c r="H6" s="24">
        <f>MAX(0,MIN(1,MAX(0,Calculator!$B$24)-(A6-1)))</f>
        <v/>
      </c>
      <c r="I6" s="22">
        <f>IF(AND(Calculator!$D$13&gt;0,A6&gt;=Calculator!$E$13),Calculator!$D$13*INDEX('Ramp grid'!$A$3:$M$14,Calculator!$E$13,A6+1),0)</f>
        <v/>
      </c>
      <c r="J6" s="22">
        <f>IF(AND(Calculator!$D$14&gt;0,A6&gt;=Calculator!$E$14),Calculator!$D$14*INDEX('Ramp grid'!$A$3:$M$14,Calculator!$E$14,A6+1),0)</f>
        <v/>
      </c>
      <c r="K6" s="22">
        <f>IF(AND(Calculator!$D$15&gt;0,A6&gt;=Calculator!$E$15),Calculator!$D$15*INDEX('Ramp grid'!$A$3:$M$14,Calculator!$E$15,A6+1),0)</f>
        <v/>
      </c>
      <c r="L6" s="22">
        <f>IF(AND(Calculator!$D$16&gt;0,A6&gt;=Calculator!$E$16),Calculator!$D$16*INDEX('Ramp grid'!$A$3:$M$14,Calculator!$E$16,A6+1),0)</f>
        <v/>
      </c>
      <c r="M6" s="22">
        <f>IF(AND(Calculator!$D$17&gt;0,A6&gt;=Calculator!$E$17),Calculator!$D$17*INDEX('Ramp grid'!$A$3:$M$14,Calculator!$E$17,A6+1),0)</f>
        <v/>
      </c>
      <c r="N6" s="22">
        <f>IF(AND(Calculator!$D$18&gt;0,A6&gt;=Calculator!$E$18),Calculator!$D$18*INDEX('Ramp grid'!$A$3:$M$14,Calculator!$E$18,A6+1),0)</f>
        <v/>
      </c>
      <c r="O6" s="24">
        <f>IF(AND(Calculator!$D$13&gt;0,A6&gt;=Calculator!$E$13),Calculator!$D$13*Calculator!$B$30^(A6-Calculator!$E$13),0)</f>
        <v/>
      </c>
      <c r="P6" s="24">
        <f>IF(AND(Calculator!$D$14&gt;0,A6&gt;=Calculator!$E$14),Calculator!$D$14*Calculator!$B$30^(A6-Calculator!$E$14),0)</f>
        <v/>
      </c>
      <c r="Q6" s="24">
        <f>IF(AND(Calculator!$D$15&gt;0,A6&gt;=Calculator!$E$15),Calculator!$D$15*Calculator!$B$30^(A6-Calculator!$E$15),0)</f>
        <v/>
      </c>
      <c r="R6" s="24">
        <f>IF(AND(Calculator!$D$16&gt;0,A6&gt;=Calculator!$E$16),Calculator!$D$16*Calculator!$B$30^(A6-Calculator!$E$16),0)</f>
        <v/>
      </c>
      <c r="S6" s="24">
        <f>IF(AND(Calculator!$D$17&gt;0,A6&gt;=Calculator!$E$17),Calculator!$D$17*Calculator!$B$30^(A6-Calculator!$E$17),0)</f>
        <v/>
      </c>
      <c r="T6" s="24">
        <f>IF(AND(Calculator!$D$18&gt;0,A6&gt;=Calculator!$E$18),Calculator!$D$18*Calculator!$B$30^(A6-Calculator!$E$18),0)</f>
        <v/>
      </c>
    </row>
    <row r="7">
      <c r="A7" t="n">
        <v>6</v>
      </c>
      <c r="B7" s="10">
        <f>SUMPRODUCT((Calculator!$E$13:$E$18=A7)*Calculator!$D$13:$D$18)</f>
        <v/>
      </c>
      <c r="C7" s="23">
        <f>MAX(0,Calculator!$B$7)*Calculator!$B$30^(A7-1)+SUM(O7:T7)</f>
        <v/>
      </c>
      <c r="D7" s="24">
        <f>MAX(0,Calculator!$B$7)*Calculator!$B$30^(A7-1)+SUM(I7:N7)</f>
        <v/>
      </c>
      <c r="E7" s="21">
        <f>D7*Calculator!$B$31</f>
        <v/>
      </c>
      <c r="F7" s="21">
        <f>IF(Calculator!$B$26="The team's bookings capacity",E7,MAX(0,Calculator!$B$21)/12)</f>
        <v/>
      </c>
      <c r="G7" s="21">
        <f>IF(Calculator!$B$32&gt;0,INDEX($F$2:$F$13,MIN(A7+Calculator!$B$33,12))/Calculator!$B$32,"-")</f>
        <v/>
      </c>
      <c r="H7" s="24">
        <f>MAX(0,MIN(1,MAX(0,Calculator!$B$24)-(A7-1)))</f>
        <v/>
      </c>
      <c r="I7" s="22">
        <f>IF(AND(Calculator!$D$13&gt;0,A7&gt;=Calculator!$E$13),Calculator!$D$13*INDEX('Ramp grid'!$A$3:$M$14,Calculator!$E$13,A7+1),0)</f>
        <v/>
      </c>
      <c r="J7" s="22">
        <f>IF(AND(Calculator!$D$14&gt;0,A7&gt;=Calculator!$E$14),Calculator!$D$14*INDEX('Ramp grid'!$A$3:$M$14,Calculator!$E$14,A7+1),0)</f>
        <v/>
      </c>
      <c r="K7" s="22">
        <f>IF(AND(Calculator!$D$15&gt;0,A7&gt;=Calculator!$E$15),Calculator!$D$15*INDEX('Ramp grid'!$A$3:$M$14,Calculator!$E$15,A7+1),0)</f>
        <v/>
      </c>
      <c r="L7" s="22">
        <f>IF(AND(Calculator!$D$16&gt;0,A7&gt;=Calculator!$E$16),Calculator!$D$16*INDEX('Ramp grid'!$A$3:$M$14,Calculator!$E$16,A7+1),0)</f>
        <v/>
      </c>
      <c r="M7" s="22">
        <f>IF(AND(Calculator!$D$17&gt;0,A7&gt;=Calculator!$E$17),Calculator!$D$17*INDEX('Ramp grid'!$A$3:$M$14,Calculator!$E$17,A7+1),0)</f>
        <v/>
      </c>
      <c r="N7" s="22">
        <f>IF(AND(Calculator!$D$18&gt;0,A7&gt;=Calculator!$E$18),Calculator!$D$18*INDEX('Ramp grid'!$A$3:$M$14,Calculator!$E$18,A7+1),0)</f>
        <v/>
      </c>
      <c r="O7" s="24">
        <f>IF(AND(Calculator!$D$13&gt;0,A7&gt;=Calculator!$E$13),Calculator!$D$13*Calculator!$B$30^(A7-Calculator!$E$13),0)</f>
        <v/>
      </c>
      <c r="P7" s="24">
        <f>IF(AND(Calculator!$D$14&gt;0,A7&gt;=Calculator!$E$14),Calculator!$D$14*Calculator!$B$30^(A7-Calculator!$E$14),0)</f>
        <v/>
      </c>
      <c r="Q7" s="24">
        <f>IF(AND(Calculator!$D$15&gt;0,A7&gt;=Calculator!$E$15),Calculator!$D$15*Calculator!$B$30^(A7-Calculator!$E$15),0)</f>
        <v/>
      </c>
      <c r="R7" s="24">
        <f>IF(AND(Calculator!$D$16&gt;0,A7&gt;=Calculator!$E$16),Calculator!$D$16*Calculator!$B$30^(A7-Calculator!$E$16),0)</f>
        <v/>
      </c>
      <c r="S7" s="24">
        <f>IF(AND(Calculator!$D$17&gt;0,A7&gt;=Calculator!$E$17),Calculator!$D$17*Calculator!$B$30^(A7-Calculator!$E$17),0)</f>
        <v/>
      </c>
      <c r="T7" s="24">
        <f>IF(AND(Calculator!$D$18&gt;0,A7&gt;=Calculator!$E$18),Calculator!$D$18*Calculator!$B$30^(A7-Calculator!$E$18),0)</f>
        <v/>
      </c>
    </row>
    <row r="8">
      <c r="A8" t="n">
        <v>7</v>
      </c>
      <c r="B8" s="10">
        <f>SUMPRODUCT((Calculator!$E$13:$E$18=A8)*Calculator!$D$13:$D$18)</f>
        <v/>
      </c>
      <c r="C8" s="23">
        <f>MAX(0,Calculator!$B$7)*Calculator!$B$30^(A8-1)+SUM(O8:T8)</f>
        <v/>
      </c>
      <c r="D8" s="24">
        <f>MAX(0,Calculator!$B$7)*Calculator!$B$30^(A8-1)+SUM(I8:N8)</f>
        <v/>
      </c>
      <c r="E8" s="21">
        <f>D8*Calculator!$B$31</f>
        <v/>
      </c>
      <c r="F8" s="21">
        <f>IF(Calculator!$B$26="The team's bookings capacity",E8,MAX(0,Calculator!$B$21)/12)</f>
        <v/>
      </c>
      <c r="G8" s="21">
        <f>IF(Calculator!$B$32&gt;0,INDEX($F$2:$F$13,MIN(A8+Calculator!$B$33,12))/Calculator!$B$32,"-")</f>
        <v/>
      </c>
      <c r="H8" s="24">
        <f>MAX(0,MIN(1,MAX(0,Calculator!$B$24)-(A8-1)))</f>
        <v/>
      </c>
      <c r="I8" s="22">
        <f>IF(AND(Calculator!$D$13&gt;0,A8&gt;=Calculator!$E$13),Calculator!$D$13*INDEX('Ramp grid'!$A$3:$M$14,Calculator!$E$13,A8+1),0)</f>
        <v/>
      </c>
      <c r="J8" s="22">
        <f>IF(AND(Calculator!$D$14&gt;0,A8&gt;=Calculator!$E$14),Calculator!$D$14*INDEX('Ramp grid'!$A$3:$M$14,Calculator!$E$14,A8+1),0)</f>
        <v/>
      </c>
      <c r="K8" s="22">
        <f>IF(AND(Calculator!$D$15&gt;0,A8&gt;=Calculator!$E$15),Calculator!$D$15*INDEX('Ramp grid'!$A$3:$M$14,Calculator!$E$15,A8+1),0)</f>
        <v/>
      </c>
      <c r="L8" s="22">
        <f>IF(AND(Calculator!$D$16&gt;0,A8&gt;=Calculator!$E$16),Calculator!$D$16*INDEX('Ramp grid'!$A$3:$M$14,Calculator!$E$16,A8+1),0)</f>
        <v/>
      </c>
      <c r="M8" s="22">
        <f>IF(AND(Calculator!$D$17&gt;0,A8&gt;=Calculator!$E$17),Calculator!$D$17*INDEX('Ramp grid'!$A$3:$M$14,Calculator!$E$17,A8+1),0)</f>
        <v/>
      </c>
      <c r="N8" s="22">
        <f>IF(AND(Calculator!$D$18&gt;0,A8&gt;=Calculator!$E$18),Calculator!$D$18*INDEX('Ramp grid'!$A$3:$M$14,Calculator!$E$18,A8+1),0)</f>
        <v/>
      </c>
      <c r="O8" s="24">
        <f>IF(AND(Calculator!$D$13&gt;0,A8&gt;=Calculator!$E$13),Calculator!$D$13*Calculator!$B$30^(A8-Calculator!$E$13),0)</f>
        <v/>
      </c>
      <c r="P8" s="24">
        <f>IF(AND(Calculator!$D$14&gt;0,A8&gt;=Calculator!$E$14),Calculator!$D$14*Calculator!$B$30^(A8-Calculator!$E$14),0)</f>
        <v/>
      </c>
      <c r="Q8" s="24">
        <f>IF(AND(Calculator!$D$15&gt;0,A8&gt;=Calculator!$E$15),Calculator!$D$15*Calculator!$B$30^(A8-Calculator!$E$15),0)</f>
        <v/>
      </c>
      <c r="R8" s="24">
        <f>IF(AND(Calculator!$D$16&gt;0,A8&gt;=Calculator!$E$16),Calculator!$D$16*Calculator!$B$30^(A8-Calculator!$E$16),0)</f>
        <v/>
      </c>
      <c r="S8" s="24">
        <f>IF(AND(Calculator!$D$17&gt;0,A8&gt;=Calculator!$E$17),Calculator!$D$17*Calculator!$B$30^(A8-Calculator!$E$17),0)</f>
        <v/>
      </c>
      <c r="T8" s="24">
        <f>IF(AND(Calculator!$D$18&gt;0,A8&gt;=Calculator!$E$18),Calculator!$D$18*Calculator!$B$30^(A8-Calculator!$E$18),0)</f>
        <v/>
      </c>
    </row>
    <row r="9">
      <c r="A9" t="n">
        <v>8</v>
      </c>
      <c r="B9" s="10">
        <f>SUMPRODUCT((Calculator!$E$13:$E$18=A9)*Calculator!$D$13:$D$18)</f>
        <v/>
      </c>
      <c r="C9" s="23">
        <f>MAX(0,Calculator!$B$7)*Calculator!$B$30^(A9-1)+SUM(O9:T9)</f>
        <v/>
      </c>
      <c r="D9" s="24">
        <f>MAX(0,Calculator!$B$7)*Calculator!$B$30^(A9-1)+SUM(I9:N9)</f>
        <v/>
      </c>
      <c r="E9" s="21">
        <f>D9*Calculator!$B$31</f>
        <v/>
      </c>
      <c r="F9" s="21">
        <f>IF(Calculator!$B$26="The team's bookings capacity",E9,MAX(0,Calculator!$B$21)/12)</f>
        <v/>
      </c>
      <c r="G9" s="21">
        <f>IF(Calculator!$B$32&gt;0,INDEX($F$2:$F$13,MIN(A9+Calculator!$B$33,12))/Calculator!$B$32,"-")</f>
        <v/>
      </c>
      <c r="H9" s="24">
        <f>MAX(0,MIN(1,MAX(0,Calculator!$B$24)-(A9-1)))</f>
        <v/>
      </c>
      <c r="I9" s="22">
        <f>IF(AND(Calculator!$D$13&gt;0,A9&gt;=Calculator!$E$13),Calculator!$D$13*INDEX('Ramp grid'!$A$3:$M$14,Calculator!$E$13,A9+1),0)</f>
        <v/>
      </c>
      <c r="J9" s="22">
        <f>IF(AND(Calculator!$D$14&gt;0,A9&gt;=Calculator!$E$14),Calculator!$D$14*INDEX('Ramp grid'!$A$3:$M$14,Calculator!$E$14,A9+1),0)</f>
        <v/>
      </c>
      <c r="K9" s="22">
        <f>IF(AND(Calculator!$D$15&gt;0,A9&gt;=Calculator!$E$15),Calculator!$D$15*INDEX('Ramp grid'!$A$3:$M$14,Calculator!$E$15,A9+1),0)</f>
        <v/>
      </c>
      <c r="L9" s="22">
        <f>IF(AND(Calculator!$D$16&gt;0,A9&gt;=Calculator!$E$16),Calculator!$D$16*INDEX('Ramp grid'!$A$3:$M$14,Calculator!$E$16,A9+1),0)</f>
        <v/>
      </c>
      <c r="M9" s="22">
        <f>IF(AND(Calculator!$D$17&gt;0,A9&gt;=Calculator!$E$17),Calculator!$D$17*INDEX('Ramp grid'!$A$3:$M$14,Calculator!$E$17,A9+1),0)</f>
        <v/>
      </c>
      <c r="N9" s="22">
        <f>IF(AND(Calculator!$D$18&gt;0,A9&gt;=Calculator!$E$18),Calculator!$D$18*INDEX('Ramp grid'!$A$3:$M$14,Calculator!$E$18,A9+1),0)</f>
        <v/>
      </c>
      <c r="O9" s="24">
        <f>IF(AND(Calculator!$D$13&gt;0,A9&gt;=Calculator!$E$13),Calculator!$D$13*Calculator!$B$30^(A9-Calculator!$E$13),0)</f>
        <v/>
      </c>
      <c r="P9" s="24">
        <f>IF(AND(Calculator!$D$14&gt;0,A9&gt;=Calculator!$E$14),Calculator!$D$14*Calculator!$B$30^(A9-Calculator!$E$14),0)</f>
        <v/>
      </c>
      <c r="Q9" s="24">
        <f>IF(AND(Calculator!$D$15&gt;0,A9&gt;=Calculator!$E$15),Calculator!$D$15*Calculator!$B$30^(A9-Calculator!$E$15),0)</f>
        <v/>
      </c>
      <c r="R9" s="24">
        <f>IF(AND(Calculator!$D$16&gt;0,A9&gt;=Calculator!$E$16),Calculator!$D$16*Calculator!$B$30^(A9-Calculator!$E$16),0)</f>
        <v/>
      </c>
      <c r="S9" s="24">
        <f>IF(AND(Calculator!$D$17&gt;0,A9&gt;=Calculator!$E$17),Calculator!$D$17*Calculator!$B$30^(A9-Calculator!$E$17),0)</f>
        <v/>
      </c>
      <c r="T9" s="24">
        <f>IF(AND(Calculator!$D$18&gt;0,A9&gt;=Calculator!$E$18),Calculator!$D$18*Calculator!$B$30^(A9-Calculator!$E$18),0)</f>
        <v/>
      </c>
    </row>
    <row r="10">
      <c r="A10" t="n">
        <v>9</v>
      </c>
      <c r="B10" s="10">
        <f>SUMPRODUCT((Calculator!$E$13:$E$18=A10)*Calculator!$D$13:$D$18)</f>
        <v/>
      </c>
      <c r="C10" s="23">
        <f>MAX(0,Calculator!$B$7)*Calculator!$B$30^(A10-1)+SUM(O10:T10)</f>
        <v/>
      </c>
      <c r="D10" s="24">
        <f>MAX(0,Calculator!$B$7)*Calculator!$B$30^(A10-1)+SUM(I10:N10)</f>
        <v/>
      </c>
      <c r="E10" s="21">
        <f>D10*Calculator!$B$31</f>
        <v/>
      </c>
      <c r="F10" s="21">
        <f>IF(Calculator!$B$26="The team's bookings capacity",E10,MAX(0,Calculator!$B$21)/12)</f>
        <v/>
      </c>
      <c r="G10" s="21">
        <f>IF(Calculator!$B$32&gt;0,INDEX($F$2:$F$13,MIN(A10+Calculator!$B$33,12))/Calculator!$B$32,"-")</f>
        <v/>
      </c>
      <c r="H10" s="24">
        <f>MAX(0,MIN(1,MAX(0,Calculator!$B$24)-(A10-1)))</f>
        <v/>
      </c>
      <c r="I10" s="22">
        <f>IF(AND(Calculator!$D$13&gt;0,A10&gt;=Calculator!$E$13),Calculator!$D$13*INDEX('Ramp grid'!$A$3:$M$14,Calculator!$E$13,A10+1),0)</f>
        <v/>
      </c>
      <c r="J10" s="22">
        <f>IF(AND(Calculator!$D$14&gt;0,A10&gt;=Calculator!$E$14),Calculator!$D$14*INDEX('Ramp grid'!$A$3:$M$14,Calculator!$E$14,A10+1),0)</f>
        <v/>
      </c>
      <c r="K10" s="22">
        <f>IF(AND(Calculator!$D$15&gt;0,A10&gt;=Calculator!$E$15),Calculator!$D$15*INDEX('Ramp grid'!$A$3:$M$14,Calculator!$E$15,A10+1),0)</f>
        <v/>
      </c>
      <c r="L10" s="22">
        <f>IF(AND(Calculator!$D$16&gt;0,A10&gt;=Calculator!$E$16),Calculator!$D$16*INDEX('Ramp grid'!$A$3:$M$14,Calculator!$E$16,A10+1),0)</f>
        <v/>
      </c>
      <c r="M10" s="22">
        <f>IF(AND(Calculator!$D$17&gt;0,A10&gt;=Calculator!$E$17),Calculator!$D$17*INDEX('Ramp grid'!$A$3:$M$14,Calculator!$E$17,A10+1),0)</f>
        <v/>
      </c>
      <c r="N10" s="22">
        <f>IF(AND(Calculator!$D$18&gt;0,A10&gt;=Calculator!$E$18),Calculator!$D$18*INDEX('Ramp grid'!$A$3:$M$14,Calculator!$E$18,A10+1),0)</f>
        <v/>
      </c>
      <c r="O10" s="24">
        <f>IF(AND(Calculator!$D$13&gt;0,A10&gt;=Calculator!$E$13),Calculator!$D$13*Calculator!$B$30^(A10-Calculator!$E$13),0)</f>
        <v/>
      </c>
      <c r="P10" s="24">
        <f>IF(AND(Calculator!$D$14&gt;0,A10&gt;=Calculator!$E$14),Calculator!$D$14*Calculator!$B$30^(A10-Calculator!$E$14),0)</f>
        <v/>
      </c>
      <c r="Q10" s="24">
        <f>IF(AND(Calculator!$D$15&gt;0,A10&gt;=Calculator!$E$15),Calculator!$D$15*Calculator!$B$30^(A10-Calculator!$E$15),0)</f>
        <v/>
      </c>
      <c r="R10" s="24">
        <f>IF(AND(Calculator!$D$16&gt;0,A10&gt;=Calculator!$E$16),Calculator!$D$16*Calculator!$B$30^(A10-Calculator!$E$16),0)</f>
        <v/>
      </c>
      <c r="S10" s="24">
        <f>IF(AND(Calculator!$D$17&gt;0,A10&gt;=Calculator!$E$17),Calculator!$D$17*Calculator!$B$30^(A10-Calculator!$E$17),0)</f>
        <v/>
      </c>
      <c r="T10" s="24">
        <f>IF(AND(Calculator!$D$18&gt;0,A10&gt;=Calculator!$E$18),Calculator!$D$18*Calculator!$B$30^(A10-Calculator!$E$18),0)</f>
        <v/>
      </c>
    </row>
    <row r="11">
      <c r="A11" t="n">
        <v>10</v>
      </c>
      <c r="B11" s="10">
        <f>SUMPRODUCT((Calculator!$E$13:$E$18=A11)*Calculator!$D$13:$D$18)</f>
        <v/>
      </c>
      <c r="C11" s="23">
        <f>MAX(0,Calculator!$B$7)*Calculator!$B$30^(A11-1)+SUM(O11:T11)</f>
        <v/>
      </c>
      <c r="D11" s="24">
        <f>MAX(0,Calculator!$B$7)*Calculator!$B$30^(A11-1)+SUM(I11:N11)</f>
        <v/>
      </c>
      <c r="E11" s="21">
        <f>D11*Calculator!$B$31</f>
        <v/>
      </c>
      <c r="F11" s="21">
        <f>IF(Calculator!$B$26="The team's bookings capacity",E11,MAX(0,Calculator!$B$21)/12)</f>
        <v/>
      </c>
      <c r="G11" s="21">
        <f>IF(Calculator!$B$32&gt;0,INDEX($F$2:$F$13,MIN(A11+Calculator!$B$33,12))/Calculator!$B$32,"-")</f>
        <v/>
      </c>
      <c r="H11" s="24">
        <f>MAX(0,MIN(1,MAX(0,Calculator!$B$24)-(A11-1)))</f>
        <v/>
      </c>
      <c r="I11" s="22">
        <f>IF(AND(Calculator!$D$13&gt;0,A11&gt;=Calculator!$E$13),Calculator!$D$13*INDEX('Ramp grid'!$A$3:$M$14,Calculator!$E$13,A11+1),0)</f>
        <v/>
      </c>
      <c r="J11" s="22">
        <f>IF(AND(Calculator!$D$14&gt;0,A11&gt;=Calculator!$E$14),Calculator!$D$14*INDEX('Ramp grid'!$A$3:$M$14,Calculator!$E$14,A11+1),0)</f>
        <v/>
      </c>
      <c r="K11" s="22">
        <f>IF(AND(Calculator!$D$15&gt;0,A11&gt;=Calculator!$E$15),Calculator!$D$15*INDEX('Ramp grid'!$A$3:$M$14,Calculator!$E$15,A11+1),0)</f>
        <v/>
      </c>
      <c r="L11" s="22">
        <f>IF(AND(Calculator!$D$16&gt;0,A11&gt;=Calculator!$E$16),Calculator!$D$16*INDEX('Ramp grid'!$A$3:$M$14,Calculator!$E$16,A11+1),0)</f>
        <v/>
      </c>
      <c r="M11" s="22">
        <f>IF(AND(Calculator!$D$17&gt;0,A11&gt;=Calculator!$E$17),Calculator!$D$17*INDEX('Ramp grid'!$A$3:$M$14,Calculator!$E$17,A11+1),0)</f>
        <v/>
      </c>
      <c r="N11" s="22">
        <f>IF(AND(Calculator!$D$18&gt;0,A11&gt;=Calculator!$E$18),Calculator!$D$18*INDEX('Ramp grid'!$A$3:$M$14,Calculator!$E$18,A11+1),0)</f>
        <v/>
      </c>
      <c r="O11" s="24">
        <f>IF(AND(Calculator!$D$13&gt;0,A11&gt;=Calculator!$E$13),Calculator!$D$13*Calculator!$B$30^(A11-Calculator!$E$13),0)</f>
        <v/>
      </c>
      <c r="P11" s="24">
        <f>IF(AND(Calculator!$D$14&gt;0,A11&gt;=Calculator!$E$14),Calculator!$D$14*Calculator!$B$30^(A11-Calculator!$E$14),0)</f>
        <v/>
      </c>
      <c r="Q11" s="24">
        <f>IF(AND(Calculator!$D$15&gt;0,A11&gt;=Calculator!$E$15),Calculator!$D$15*Calculator!$B$30^(A11-Calculator!$E$15),0)</f>
        <v/>
      </c>
      <c r="R11" s="24">
        <f>IF(AND(Calculator!$D$16&gt;0,A11&gt;=Calculator!$E$16),Calculator!$D$16*Calculator!$B$30^(A11-Calculator!$E$16),0)</f>
        <v/>
      </c>
      <c r="S11" s="24">
        <f>IF(AND(Calculator!$D$17&gt;0,A11&gt;=Calculator!$E$17),Calculator!$D$17*Calculator!$B$30^(A11-Calculator!$E$17),0)</f>
        <v/>
      </c>
      <c r="T11" s="24">
        <f>IF(AND(Calculator!$D$18&gt;0,A11&gt;=Calculator!$E$18),Calculator!$D$18*Calculator!$B$30^(A11-Calculator!$E$18),0)</f>
        <v/>
      </c>
    </row>
    <row r="12">
      <c r="A12" t="n">
        <v>11</v>
      </c>
      <c r="B12" s="10">
        <f>SUMPRODUCT((Calculator!$E$13:$E$18=A12)*Calculator!$D$13:$D$18)</f>
        <v/>
      </c>
      <c r="C12" s="23">
        <f>MAX(0,Calculator!$B$7)*Calculator!$B$30^(A12-1)+SUM(O12:T12)</f>
        <v/>
      </c>
      <c r="D12" s="24">
        <f>MAX(0,Calculator!$B$7)*Calculator!$B$30^(A12-1)+SUM(I12:N12)</f>
        <v/>
      </c>
      <c r="E12" s="21">
        <f>D12*Calculator!$B$31</f>
        <v/>
      </c>
      <c r="F12" s="21">
        <f>IF(Calculator!$B$26="The team's bookings capacity",E12,MAX(0,Calculator!$B$21)/12)</f>
        <v/>
      </c>
      <c r="G12" s="21">
        <f>IF(Calculator!$B$32&gt;0,INDEX($F$2:$F$13,MIN(A12+Calculator!$B$33,12))/Calculator!$B$32,"-")</f>
        <v/>
      </c>
      <c r="H12" s="24">
        <f>MAX(0,MIN(1,MAX(0,Calculator!$B$24)-(A12-1)))</f>
        <v/>
      </c>
      <c r="I12" s="22">
        <f>IF(AND(Calculator!$D$13&gt;0,A12&gt;=Calculator!$E$13),Calculator!$D$13*INDEX('Ramp grid'!$A$3:$M$14,Calculator!$E$13,A12+1),0)</f>
        <v/>
      </c>
      <c r="J12" s="22">
        <f>IF(AND(Calculator!$D$14&gt;0,A12&gt;=Calculator!$E$14),Calculator!$D$14*INDEX('Ramp grid'!$A$3:$M$14,Calculator!$E$14,A12+1),0)</f>
        <v/>
      </c>
      <c r="K12" s="22">
        <f>IF(AND(Calculator!$D$15&gt;0,A12&gt;=Calculator!$E$15),Calculator!$D$15*INDEX('Ramp grid'!$A$3:$M$14,Calculator!$E$15,A12+1),0)</f>
        <v/>
      </c>
      <c r="L12" s="22">
        <f>IF(AND(Calculator!$D$16&gt;0,A12&gt;=Calculator!$E$16),Calculator!$D$16*INDEX('Ramp grid'!$A$3:$M$14,Calculator!$E$16,A12+1),0)</f>
        <v/>
      </c>
      <c r="M12" s="22">
        <f>IF(AND(Calculator!$D$17&gt;0,A12&gt;=Calculator!$E$17),Calculator!$D$17*INDEX('Ramp grid'!$A$3:$M$14,Calculator!$E$17,A12+1),0)</f>
        <v/>
      </c>
      <c r="N12" s="22">
        <f>IF(AND(Calculator!$D$18&gt;0,A12&gt;=Calculator!$E$18),Calculator!$D$18*INDEX('Ramp grid'!$A$3:$M$14,Calculator!$E$18,A12+1),0)</f>
        <v/>
      </c>
      <c r="O12" s="24">
        <f>IF(AND(Calculator!$D$13&gt;0,A12&gt;=Calculator!$E$13),Calculator!$D$13*Calculator!$B$30^(A12-Calculator!$E$13),0)</f>
        <v/>
      </c>
      <c r="P12" s="24">
        <f>IF(AND(Calculator!$D$14&gt;0,A12&gt;=Calculator!$E$14),Calculator!$D$14*Calculator!$B$30^(A12-Calculator!$E$14),0)</f>
        <v/>
      </c>
      <c r="Q12" s="24">
        <f>IF(AND(Calculator!$D$15&gt;0,A12&gt;=Calculator!$E$15),Calculator!$D$15*Calculator!$B$30^(A12-Calculator!$E$15),0)</f>
        <v/>
      </c>
      <c r="R12" s="24">
        <f>IF(AND(Calculator!$D$16&gt;0,A12&gt;=Calculator!$E$16),Calculator!$D$16*Calculator!$B$30^(A12-Calculator!$E$16),0)</f>
        <v/>
      </c>
      <c r="S12" s="24">
        <f>IF(AND(Calculator!$D$17&gt;0,A12&gt;=Calculator!$E$17),Calculator!$D$17*Calculator!$B$30^(A12-Calculator!$E$17),0)</f>
        <v/>
      </c>
      <c r="T12" s="24">
        <f>IF(AND(Calculator!$D$18&gt;0,A12&gt;=Calculator!$E$18),Calculator!$D$18*Calculator!$B$30^(A12-Calculator!$E$18),0)</f>
        <v/>
      </c>
    </row>
    <row r="13">
      <c r="A13" t="n">
        <v>12</v>
      </c>
      <c r="B13" s="10">
        <f>SUMPRODUCT((Calculator!$E$13:$E$18=A13)*Calculator!$D$13:$D$18)</f>
        <v/>
      </c>
      <c r="C13" s="23">
        <f>MAX(0,Calculator!$B$7)*Calculator!$B$30^(A13-1)+SUM(O13:T13)</f>
        <v/>
      </c>
      <c r="D13" s="24">
        <f>MAX(0,Calculator!$B$7)*Calculator!$B$30^(A13-1)+SUM(I13:N13)</f>
        <v/>
      </c>
      <c r="E13" s="21">
        <f>D13*Calculator!$B$31</f>
        <v/>
      </c>
      <c r="F13" s="21">
        <f>IF(Calculator!$B$26="The team's bookings capacity",E13,MAX(0,Calculator!$B$21)/12)</f>
        <v/>
      </c>
      <c r="G13" s="21">
        <f>IF(Calculator!$B$32&gt;0,INDEX($F$2:$F$13,MIN(A13+Calculator!$B$33,12))/Calculator!$B$32,"-")</f>
        <v/>
      </c>
      <c r="H13" s="24">
        <f>MAX(0,MIN(1,MAX(0,Calculator!$B$24)-(A13-1)))</f>
        <v/>
      </c>
      <c r="I13" s="22">
        <f>IF(AND(Calculator!$D$13&gt;0,A13&gt;=Calculator!$E$13),Calculator!$D$13*INDEX('Ramp grid'!$A$3:$M$14,Calculator!$E$13,A13+1),0)</f>
        <v/>
      </c>
      <c r="J13" s="22">
        <f>IF(AND(Calculator!$D$14&gt;0,A13&gt;=Calculator!$E$14),Calculator!$D$14*INDEX('Ramp grid'!$A$3:$M$14,Calculator!$E$14,A13+1),0)</f>
        <v/>
      </c>
      <c r="K13" s="22">
        <f>IF(AND(Calculator!$D$15&gt;0,A13&gt;=Calculator!$E$15),Calculator!$D$15*INDEX('Ramp grid'!$A$3:$M$14,Calculator!$E$15,A13+1),0)</f>
        <v/>
      </c>
      <c r="L13" s="22">
        <f>IF(AND(Calculator!$D$16&gt;0,A13&gt;=Calculator!$E$16),Calculator!$D$16*INDEX('Ramp grid'!$A$3:$M$14,Calculator!$E$16,A13+1),0)</f>
        <v/>
      </c>
      <c r="M13" s="22">
        <f>IF(AND(Calculator!$D$17&gt;0,A13&gt;=Calculator!$E$17),Calculator!$D$17*INDEX('Ramp grid'!$A$3:$M$14,Calculator!$E$17,A13+1),0)</f>
        <v/>
      </c>
      <c r="N13" s="22">
        <f>IF(AND(Calculator!$D$18&gt;0,A13&gt;=Calculator!$E$18),Calculator!$D$18*INDEX('Ramp grid'!$A$3:$M$14,Calculator!$E$18,A13+1),0)</f>
        <v/>
      </c>
      <c r="O13" s="24">
        <f>IF(AND(Calculator!$D$13&gt;0,A13&gt;=Calculator!$E$13),Calculator!$D$13*Calculator!$B$30^(A13-Calculator!$E$13),0)</f>
        <v/>
      </c>
      <c r="P13" s="24">
        <f>IF(AND(Calculator!$D$14&gt;0,A13&gt;=Calculator!$E$14),Calculator!$D$14*Calculator!$B$30^(A13-Calculator!$E$14),0)</f>
        <v/>
      </c>
      <c r="Q13" s="24">
        <f>IF(AND(Calculator!$D$15&gt;0,A13&gt;=Calculator!$E$15),Calculator!$D$15*Calculator!$B$30^(A13-Calculator!$E$15),0)</f>
        <v/>
      </c>
      <c r="R13" s="24">
        <f>IF(AND(Calculator!$D$16&gt;0,A13&gt;=Calculator!$E$16),Calculator!$D$16*Calculator!$B$30^(A13-Calculator!$E$16),0)</f>
        <v/>
      </c>
      <c r="S13" s="24">
        <f>IF(AND(Calculator!$D$17&gt;0,A13&gt;=Calculator!$E$17),Calculator!$D$17*Calculator!$B$30^(A13-Calculator!$E$17),0)</f>
        <v/>
      </c>
      <c r="T13" s="24">
        <f>IF(AND(Calculator!$D$18&gt;0,A13&gt;=Calculator!$E$18),Calculator!$D$18*Calculator!$B$30^(A13-Calculator!$E$18),0)</f>
        <v/>
      </c>
    </row>
    <row r="14">
      <c r="A14" s="9" t="inlineStr">
        <is>
          <t>Total</t>
        </is>
      </c>
      <c r="B14" s="10">
        <f>SUM(B2:B13)</f>
        <v/>
      </c>
      <c r="D14" s="24">
        <f>SUM(D2:D13)</f>
        <v/>
      </c>
      <c r="E14" s="21">
        <f>SUM(E2:E13)</f>
        <v/>
      </c>
      <c r="G14" s="21">
        <f>IF(Calculator!$B$32&gt;0,SUM(G2:G13),"-")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5" t="inlineStr">
        <is>
          <t>Free template by Adlega</t>
        </is>
      </c>
    </row>
    <row r="2">
      <c r="A2" s="26" t="inlineStr">
        <is>
          <t>Live calculator: https://adlega.com/blog/tools/sales-capacity/</t>
        </is>
      </c>
    </row>
    <row r="3">
      <c r="A3" s="26" t="inlineStr">
        <is>
          <t>Version: October 2026</t>
        </is>
      </c>
    </row>
    <row r="4">
      <c r="A4" s="26" t="inlineStr"/>
    </row>
    <row r="5">
      <c r="A5" s="26" t="inlineStr">
        <is>
          <t>This template is a planning aid, not tax, legal or investment advice. Check the numbers with your own advisers before you act on them.</t>
        </is>
      </c>
    </row>
    <row r="6">
      <c r="A6" s="26" t="inlineStr">
        <is>
          <t>Blue cells on a light yellow background are inputs. Every other number is a live Excel formula that mirrors the web calculator.</t>
        </is>
      </c>
    </row>
    <row r="7">
      <c r="A7" s="26" t="inlineStr"/>
    </row>
    <row r="8">
      <c r="A8" s="26" t="inlineStr">
        <is>
          <t>Model as in the web calculator: AE output = quota x attainment / 12 per month, linear ramp, attrition as monthly survival, pipeline = bookings / win rate, and bookings due inside one sales cycle must come from pipeline already open today.</t>
        </is>
      </c>
    </row>
    <row r="9">
      <c r="A9" s="26" t="inlineStr"/>
    </row>
    <row r="10">
      <c r="A10" s="26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Sales Capacity and Pipeline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