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Rep cash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-&quot;$&quot;#,##0"/>
    <numFmt numFmtId="165" formatCode="0.0%"/>
    <numFmt numFmtId="166" formatCode="0.00&quot;x&quot;"/>
    <numFmt numFmtId="167" formatCode="&quot;$&quot;#,##0.0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165" fontId="4" fillId="3" borderId="0" pivotButton="0" quotePrefix="0" xfId="0"/>
    <xf numFmtId="0" fontId="3" fillId="4" borderId="0" applyAlignment="1" pivotButton="0" quotePrefix="0" xfId="0">
      <alignment vertical="bottom" wrapText="1"/>
    </xf>
    <xf numFmtId="166" fontId="4" fillId="3" borderId="0" pivotButton="0" quotePrefix="0" xfId="0"/>
    <xf numFmtId="9" fontId="4" fillId="3" borderId="0" pivotButton="0" quotePrefix="0" xfId="0"/>
    <xf numFmtId="0" fontId="4" fillId="3" borderId="0" pivotButton="0" quotePrefix="0" xfId="0"/>
    <xf numFmtId="1" fontId="4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10" fontId="0" fillId="0" borderId="0" pivotButton="0" quotePrefix="0" xfId="0"/>
    <xf numFmtId="166" fontId="0" fillId="0" borderId="0" pivotButton="0" quotePrefix="0" xfId="0"/>
    <xf numFmtId="1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  <xf numFmtId="1" fontId="3" fillId="0" borderId="0" pivotButton="0" quotePrefix="0" xfId="0"/>
    <xf numFmtId="164" fontId="3" fillId="0" borderId="0" pivotButton="0" quotePrefix="0" xfId="0"/>
    <xf numFmtId="167" fontId="3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SaaS Sales Commission and Quota Calculator</t>
        </is>
      </c>
    </row>
    <row r="2">
      <c r="A2" s="2" t="inlineStr">
        <is>
          <t>Change the blue cells on light yellow. Every other number is a live formula. Live version: https://adlega.com/blog/tools/sales-commission/</t>
        </is>
      </c>
    </row>
    <row r="4">
      <c r="A4" s="3" t="inlineStr">
        <is>
          <t>Pay and quota</t>
        </is>
      </c>
      <c r="B4" s="4" t="n"/>
    </row>
    <row r="5">
      <c r="A5" t="inlineStr">
        <is>
          <t>Base salary (per year)</t>
        </is>
      </c>
      <c r="B5" s="5" t="n">
        <v>100000</v>
      </c>
    </row>
    <row r="6">
      <c r="A6" t="inlineStr">
        <is>
          <t>On-target earnings, OTE (per year)</t>
        </is>
      </c>
      <c r="B6" s="5" t="n">
        <v>200000</v>
      </c>
    </row>
    <row r="7">
      <c r="A7" t="inlineStr">
        <is>
          <t>Annual quota (new ARR)</t>
        </is>
      </c>
      <c r="B7" s="5" t="n">
        <v>875000</v>
      </c>
    </row>
    <row r="8">
      <c r="A8" t="inlineStr">
        <is>
          <t>Expected attainment (% of quota)</t>
        </is>
      </c>
      <c r="B8" s="6" t="n">
        <v>0.75</v>
      </c>
    </row>
    <row r="10">
      <c r="A10" s="3" t="inlineStr">
        <is>
          <t>Accelerators (blank = off; must start at 100% or more) and decelerator</t>
        </is>
      </c>
      <c r="B10" s="4" t="n"/>
      <c r="C10" s="4" t="n"/>
    </row>
    <row r="11">
      <c r="A11" s="7" t="inlineStr">
        <is>
          <t>Tier</t>
        </is>
      </c>
      <c r="B11" s="7" t="inlineStr">
        <is>
          <t>Starts at % of quota</t>
        </is>
      </c>
      <c r="C11" s="7" t="inlineStr">
        <is>
          <t>Rate multiplier</t>
        </is>
      </c>
      <c r="E11" s="2" t="inlineStr">
        <is>
          <t>Effective start</t>
        </is>
      </c>
      <c r="F11" s="2" t="inlineStr">
        <is>
          <t>Effective mult</t>
        </is>
      </c>
      <c r="G11" s="2" t="inlineStr">
        <is>
          <t>Sorted start</t>
        </is>
      </c>
      <c r="H11" s="2" t="inlineStr">
        <is>
          <t>Sorted mult</t>
        </is>
      </c>
    </row>
    <row r="12">
      <c r="A12" t="inlineStr">
        <is>
          <t>Accelerator 1</t>
        </is>
      </c>
      <c r="B12" s="6" t="n">
        <v>1</v>
      </c>
      <c r="C12" s="8" t="n">
        <v>1.5</v>
      </c>
      <c r="E12">
        <f>IF(AND(ISNUMBER(B12),ISNUMBER(C12),B12&gt;=1,C12&gt;=0),B12,1E9)</f>
        <v/>
      </c>
      <c r="F12">
        <f>IF(AND(ISNUMBER(B12),ISNUMBER(C12),B12&gt;=1,C12&gt;=0),C12,0)</f>
        <v/>
      </c>
      <c r="G12">
        <f>SMALL($E$12:$E$14,1)</f>
        <v/>
      </c>
      <c r="H12">
        <f>INDEX($F$12:$F$14,MATCH(G12,$E$12:$E$14,0))</f>
        <v/>
      </c>
    </row>
    <row r="13">
      <c r="A13" t="inlineStr">
        <is>
          <t>Accelerator 2</t>
        </is>
      </c>
      <c r="B13" s="6" t="n">
        <v>1.25</v>
      </c>
      <c r="C13" s="8" t="n">
        <v>2</v>
      </c>
      <c r="E13">
        <f>IF(AND(ISNUMBER(B13),ISNUMBER(C13),B13&gt;=1,C13&gt;=0),B13,1E9)</f>
        <v/>
      </c>
      <c r="F13">
        <f>IF(AND(ISNUMBER(B13),ISNUMBER(C13),B13&gt;=1,C13&gt;=0),C13,0)</f>
        <v/>
      </c>
      <c r="G13">
        <f>SMALL($E$12:$E$14,2)</f>
        <v/>
      </c>
      <c r="H13">
        <f>INDEX($F$12:$F$14,MATCH(G13,$E$12:$E$14,0))</f>
        <v/>
      </c>
    </row>
    <row r="14">
      <c r="A14" t="inlineStr">
        <is>
          <t>Accelerator 3</t>
        </is>
      </c>
      <c r="B14" s="6" t="n"/>
      <c r="C14" s="8" t="n"/>
      <c r="E14">
        <f>IF(AND(ISNUMBER(B14),ISNUMBER(C14),B14&gt;=1,C14&gt;=0),B14,1E9)</f>
        <v/>
      </c>
      <c r="F14">
        <f>IF(AND(ISNUMBER(B14),ISNUMBER(C14),B14&gt;=1,C14&gt;=0),C14,0)</f>
        <v/>
      </c>
      <c r="G14">
        <f>SMALL($E$12:$E$14,3)</f>
        <v/>
      </c>
      <c r="H14">
        <f>INDEX($F$12:$F$14,MATCH(G14,$E$12:$E$14,0))</f>
        <v/>
      </c>
    </row>
    <row r="15">
      <c r="A15" t="inlineStr">
        <is>
          <t>Decelerator below (% of quota, 0 = off)</t>
        </is>
      </c>
      <c r="B15" s="6" t="n">
        <v>0</v>
      </c>
    </row>
    <row r="16">
      <c r="A16" t="inlineStr">
        <is>
          <t>Decelerator multiplier</t>
        </is>
      </c>
      <c r="B16" s="8" t="n">
        <v>0.5</v>
      </c>
    </row>
    <row r="18">
      <c r="A18" s="3" t="inlineStr">
        <is>
          <t>Ramp, cash timing, clawback, margin</t>
        </is>
      </c>
      <c r="B18" s="4" t="n"/>
    </row>
    <row r="19">
      <c r="A19" t="inlineStr">
        <is>
          <t>Ramp: month 1 (% of full monthly quota)</t>
        </is>
      </c>
      <c r="B19" s="9" t="n">
        <v>0.14</v>
      </c>
    </row>
    <row r="20">
      <c r="A20" t="inlineStr">
        <is>
          <t>Ramp: month 2 (% of full monthly quota)</t>
        </is>
      </c>
      <c r="B20" s="9" t="n">
        <v>0.29</v>
      </c>
    </row>
    <row r="21">
      <c r="A21" t="inlineStr">
        <is>
          <t>Ramp: month 3 (% of full monthly quota)</t>
        </is>
      </c>
      <c r="B21" s="9" t="n">
        <v>0.43</v>
      </c>
    </row>
    <row r="22">
      <c r="A22" t="inlineStr">
        <is>
          <t>Ramp: month 4 (% of full monthly quota)</t>
        </is>
      </c>
      <c r="B22" s="9" t="n">
        <v>0.57</v>
      </c>
    </row>
    <row r="23">
      <c r="A23" t="inlineStr">
        <is>
          <t>Ramp: month 5 (% of full monthly quota)</t>
        </is>
      </c>
      <c r="B23" s="9" t="n">
        <v>0.71</v>
      </c>
    </row>
    <row r="24">
      <c r="A24" t="inlineStr">
        <is>
          <t>Ramp: month 6 (% of full monthly quota)</t>
        </is>
      </c>
      <c r="B24" s="9" t="n">
        <v>0.86</v>
      </c>
    </row>
    <row r="25">
      <c r="A25" t="inlineStr">
        <is>
          <t>Commission paid (booking / cash)</t>
        </is>
      </c>
      <c r="B25" s="10" t="inlineStr">
        <is>
          <t>booking</t>
        </is>
      </c>
    </row>
    <row r="26">
      <c r="A26" t="inlineStr">
        <is>
          <t>Customer billing (monthly / annual)</t>
        </is>
      </c>
      <c r="B26" s="10" t="inlineStr">
        <is>
          <t>monthly</t>
        </is>
      </c>
    </row>
    <row r="27">
      <c r="A27" t="inlineStr">
        <is>
          <t>Clawback window (months, 0 = none, max 12)</t>
        </is>
      </c>
      <c r="B27" s="11" t="n">
        <v>0</v>
      </c>
    </row>
    <row r="28">
      <c r="A28" t="inlineStr">
        <is>
          <t>New ARR that cancels inside the window</t>
        </is>
      </c>
      <c r="B28" s="6" t="n">
        <v>0.1</v>
      </c>
    </row>
    <row r="29">
      <c r="A29" t="inlineStr">
        <is>
          <t>Gross margin</t>
        </is>
      </c>
      <c r="B29" s="6" t="n">
        <v>0.75</v>
      </c>
    </row>
    <row r="30">
      <c r="A30" t="inlineStr">
        <is>
          <t>Employer on-costs (% of pay)</t>
        </is>
      </c>
      <c r="B30" s="6" t="n">
        <v>0</v>
      </c>
    </row>
    <row r="32">
      <c r="A32" s="3" t="inlineStr">
        <is>
          <t>Derived</t>
        </is>
      </c>
      <c r="B32" s="4" t="n"/>
    </row>
    <row r="33">
      <c r="A33" t="inlineStr">
        <is>
          <t>Variable pay = OTE - base</t>
        </is>
      </c>
      <c r="B33" s="12">
        <f>MAX(0,$B$6-$B$5)</f>
        <v/>
      </c>
    </row>
    <row r="34">
      <c r="A34" t="inlineStr">
        <is>
          <t>Variable as % of OTE</t>
        </is>
      </c>
      <c r="B34" s="13">
        <f>IF($B$6&gt;0,$B$33/$B$6,0)</f>
        <v/>
      </c>
    </row>
    <row r="35">
      <c r="A35" t="inlineStr">
        <is>
          <t>Base commission rate = variable / quota</t>
        </is>
      </c>
      <c r="B35" s="14">
        <f>IF($B$7&gt;0,$B$33/$B$7,0)</f>
        <v/>
      </c>
    </row>
    <row r="36">
      <c r="A36" t="inlineStr">
        <is>
          <t>Quota / OTE</t>
        </is>
      </c>
      <c r="B36" s="15">
        <f>IF($B$6&gt;0,$B$7/$B$6,0)</f>
        <v/>
      </c>
    </row>
    <row r="37">
      <c r="A37" t="inlineStr">
        <is>
          <t>Commission at expected attainment (ramped year)</t>
        </is>
      </c>
      <c r="B37" s="12">
        <f>$B$33*(MIN($B$8,IF(AND($B$15&gt;0,$B$15&lt;=1),$B$15,0))*MAX(0,$B$16)+MAX(0,MIN($B$8,MAX(1,IF(AND($B$15&gt;0,$B$15&lt;=1),$B$15,0)))-IF(AND($B$15&gt;0,$B$15&lt;=1),$B$15,0))+MAX(0,MIN($B$8,$G$12)-1)+MAX(0,MIN($B$8,$G$13)-$G$12)*$H$12+MAX(0,MIN($B$8,$G$14)-$G$13)*$H$13+MAX(0,$B$8-$G$14)*$H$14)</f>
        <v/>
      </c>
    </row>
    <row r="38">
      <c r="A38" t="inlineStr">
        <is>
          <t>Effective rate at expected attainment</t>
        </is>
      </c>
      <c r="B38" s="14">
        <f>IF($B$8*$B$7&gt;0,$B$37/($B$8*$B$7),0)</f>
        <v/>
      </c>
    </row>
    <row r="39">
      <c r="A39" t="inlineStr">
        <is>
          <t>Clawback window used (months)</t>
        </is>
      </c>
      <c r="B39" s="16">
        <f>MIN(12,MAX(0,ROUND($B$27,0)))</f>
        <v/>
      </c>
    </row>
    <row r="40">
      <c r="A40" t="inlineStr">
        <is>
          <t>Cancelling share used</t>
        </is>
      </c>
      <c r="B40" s="13">
        <f>IF($B$39&gt;0,MIN(1,MAX(0,$B$28)),0)</f>
        <v/>
      </c>
    </row>
    <row r="41">
      <c r="A41" t="inlineStr">
        <is>
          <t>Ramp cost: base paid for quota not carried</t>
        </is>
      </c>
      <c r="B41" s="12">
        <f>((1-MIN(1,MAX(0,B19)))+(1-MIN(1,MAX(0,B20)))+(1-MIN(1,MAX(0,B21)))+(1-MIN(1,MAX(0,B22)))+(1-MIN(1,MAX(0,B23)))+(1-MIN(1,MAX(0,B24))))*$B$5/12*(1+$B$30)</f>
        <v/>
      </c>
    </row>
    <row r="43">
      <c r="A43" s="3" t="inlineStr">
        <is>
          <t>Payout by attainment (a fully ramped year)</t>
        </is>
      </c>
      <c r="B43" s="4" t="n"/>
      <c r="C43" s="4" t="n"/>
      <c r="D43" s="4" t="n"/>
      <c r="E43" s="4" t="n"/>
      <c r="F43" s="4" t="n"/>
      <c r="G43" s="4" t="n"/>
    </row>
    <row r="44">
      <c r="A44" s="7" t="inlineStr">
        <is>
          <t>Attainment</t>
        </is>
      </c>
      <c r="B44" s="7" t="inlineStr">
        <is>
          <t>New ARR booked</t>
        </is>
      </c>
      <c r="C44" s="7" t="inlineStr">
        <is>
          <t>Commission</t>
        </is>
      </c>
      <c r="D44" s="7" t="inlineStr">
        <is>
          <t>Total pay</t>
        </is>
      </c>
      <c r="E44" s="7" t="inlineStr">
        <is>
          <t>Pay vs OTE</t>
        </is>
      </c>
      <c r="F44" s="7" t="inlineStr">
        <is>
          <t>Effective rate</t>
        </is>
      </c>
      <c r="G44" s="7" t="inlineStr">
        <is>
          <t>Cost per $1 ARR</t>
        </is>
      </c>
    </row>
    <row r="45">
      <c r="A45" s="17" t="n">
        <v>0.5</v>
      </c>
      <c r="B45" s="12">
        <f>$B$7*A45</f>
        <v/>
      </c>
      <c r="C45" s="12">
        <f>$B$33*(MIN(A45,IF(AND($B$15&gt;0,$B$15&lt;=1),$B$15,0))*MAX(0,$B$16)+MAX(0,MIN(A45,MAX(1,IF(AND($B$15&gt;0,$B$15&lt;=1),$B$15,0)))-IF(AND($B$15&gt;0,$B$15&lt;=1),$B$15,0))+MAX(0,MIN(A45,$G$12)-1)+MAX(0,MIN(A45,$G$13)-$G$12)*$H$12+MAX(0,MIN(A45,$G$14)-$G$13)*$H$13+MAX(0,A45-$G$14)*$H$14)</f>
        <v/>
      </c>
      <c r="D45" s="12">
        <f>$B$5+C45</f>
        <v/>
      </c>
      <c r="E45" s="17">
        <f>IF($B$6&gt;0,D45/$B$6,0)</f>
        <v/>
      </c>
      <c r="F45" s="14">
        <f>IF(B45&gt;0,C45/B45,0)</f>
        <v/>
      </c>
      <c r="G45" s="18">
        <f>IF(B45&gt;0,D45*(1+$B$30)/B45,0)</f>
        <v/>
      </c>
    </row>
    <row r="46">
      <c r="A46" s="17" t="n">
        <v>0.75</v>
      </c>
      <c r="B46" s="12">
        <f>$B$7*A46</f>
        <v/>
      </c>
      <c r="C46" s="12">
        <f>$B$33*(MIN(A46,IF(AND($B$15&gt;0,$B$15&lt;=1),$B$15,0))*MAX(0,$B$16)+MAX(0,MIN(A46,MAX(1,IF(AND($B$15&gt;0,$B$15&lt;=1),$B$15,0)))-IF(AND($B$15&gt;0,$B$15&lt;=1),$B$15,0))+MAX(0,MIN(A46,$G$12)-1)+MAX(0,MIN(A46,$G$13)-$G$12)*$H$12+MAX(0,MIN(A46,$G$14)-$G$13)*$H$13+MAX(0,A46-$G$14)*$H$14)</f>
        <v/>
      </c>
      <c r="D46" s="12">
        <f>$B$5+C46</f>
        <v/>
      </c>
      <c r="E46" s="17">
        <f>IF($B$6&gt;0,D46/$B$6,0)</f>
        <v/>
      </c>
      <c r="F46" s="14">
        <f>IF(B46&gt;0,C46/B46,0)</f>
        <v/>
      </c>
      <c r="G46" s="18">
        <f>IF(B46&gt;0,D46*(1+$B$30)/B46,0)</f>
        <v/>
      </c>
    </row>
    <row r="47">
      <c r="A47" s="17" t="n">
        <v>1</v>
      </c>
      <c r="B47" s="12">
        <f>$B$7*A47</f>
        <v/>
      </c>
      <c r="C47" s="12">
        <f>$B$33*(MIN(A47,IF(AND($B$15&gt;0,$B$15&lt;=1),$B$15,0))*MAX(0,$B$16)+MAX(0,MIN(A47,MAX(1,IF(AND($B$15&gt;0,$B$15&lt;=1),$B$15,0)))-IF(AND($B$15&gt;0,$B$15&lt;=1),$B$15,0))+MAX(0,MIN(A47,$G$12)-1)+MAX(0,MIN(A47,$G$13)-$G$12)*$H$12+MAX(0,MIN(A47,$G$14)-$G$13)*$H$13+MAX(0,A47-$G$14)*$H$14)</f>
        <v/>
      </c>
      <c r="D47" s="12">
        <f>$B$5+C47</f>
        <v/>
      </c>
      <c r="E47" s="17">
        <f>IF($B$6&gt;0,D47/$B$6,0)</f>
        <v/>
      </c>
      <c r="F47" s="14">
        <f>IF(B47&gt;0,C47/B47,0)</f>
        <v/>
      </c>
      <c r="G47" s="18">
        <f>IF(B47&gt;0,D47*(1+$B$30)/B47,0)</f>
        <v/>
      </c>
    </row>
    <row r="48">
      <c r="A48" s="17" t="n">
        <v>1.25</v>
      </c>
      <c r="B48" s="12">
        <f>$B$7*A48</f>
        <v/>
      </c>
      <c r="C48" s="12">
        <f>$B$33*(MIN(A48,IF(AND($B$15&gt;0,$B$15&lt;=1),$B$15,0))*MAX(0,$B$16)+MAX(0,MIN(A48,MAX(1,IF(AND($B$15&gt;0,$B$15&lt;=1),$B$15,0)))-IF(AND($B$15&gt;0,$B$15&lt;=1),$B$15,0))+MAX(0,MIN(A48,$G$12)-1)+MAX(0,MIN(A48,$G$13)-$G$12)*$H$12+MAX(0,MIN(A48,$G$14)-$G$13)*$H$13+MAX(0,A48-$G$14)*$H$14)</f>
        <v/>
      </c>
      <c r="D48" s="12">
        <f>$B$5+C48</f>
        <v/>
      </c>
      <c r="E48" s="17">
        <f>IF($B$6&gt;0,D48/$B$6,0)</f>
        <v/>
      </c>
      <c r="F48" s="14">
        <f>IF(B48&gt;0,C48/B48,0)</f>
        <v/>
      </c>
      <c r="G48" s="18">
        <f>IF(B48&gt;0,D48*(1+$B$30)/B48,0)</f>
        <v/>
      </c>
    </row>
    <row r="49">
      <c r="A49" s="17" t="n">
        <v>1.5</v>
      </c>
      <c r="B49" s="12">
        <f>$B$7*A49</f>
        <v/>
      </c>
      <c r="C49" s="12">
        <f>$B$33*(MIN(A49,IF(AND($B$15&gt;0,$B$15&lt;=1),$B$15,0))*MAX(0,$B$16)+MAX(0,MIN(A49,MAX(1,IF(AND($B$15&gt;0,$B$15&lt;=1),$B$15,0)))-IF(AND($B$15&gt;0,$B$15&lt;=1),$B$15,0))+MAX(0,MIN(A49,$G$12)-1)+MAX(0,MIN(A49,$G$13)-$G$12)*$H$12+MAX(0,MIN(A49,$G$14)-$G$13)*$H$13+MAX(0,A49-$G$14)*$H$14)</f>
        <v/>
      </c>
      <c r="D49" s="12">
        <f>$B$5+C49</f>
        <v/>
      </c>
      <c r="E49" s="17">
        <f>IF($B$6&gt;0,D49/$B$6,0)</f>
        <v/>
      </c>
      <c r="F49" s="14">
        <f>IF(B49&gt;0,C49/B49,0)</f>
        <v/>
      </c>
      <c r="G49" s="18">
        <f>IF(B49&gt;0,D49*(1+$B$30)/B49,0)</f>
        <v/>
      </c>
    </row>
    <row r="51">
      <c r="A51" s="3" t="inlineStr">
        <is>
          <t>Results</t>
        </is>
      </c>
      <c r="B51" s="4" t="n"/>
    </row>
    <row r="52">
      <c r="A52" t="inlineStr">
        <is>
          <t>Cash-on-cash payback per rep (months)</t>
        </is>
      </c>
      <c r="B52" s="19">
        <f>IF(MIN('Rep cash'!$K$5:$K$64)&gt;=60+1,"Not within 60 months",MIN('Rep cash'!$K$5:$K$64))</f>
        <v/>
      </c>
    </row>
    <row r="53">
      <c r="A53" t="inlineStr">
        <is>
          <t>Most cash a rep ties up</t>
        </is>
      </c>
      <c r="B53" s="20">
        <f>-MIN(0,MIN('Rep cash'!$J$5:$J$64))</f>
        <v/>
      </c>
    </row>
    <row r="54">
      <c r="A54" t="inlineStr">
        <is>
          <t>Year 1 new ARR booked</t>
        </is>
      </c>
      <c r="B54" s="12">
        <f>SUM('Rep cash'!$C$5:$C$16)</f>
        <v/>
      </c>
    </row>
    <row r="55">
      <c r="A55" t="inlineStr">
        <is>
          <t>Year 1 commission paid, net of clawbacks</t>
        </is>
      </c>
      <c r="B55" s="12">
        <f>SUM('Rep cash'!$F$5:$F$16)-SUM('Rep cash'!$G$5:$G$16)</f>
        <v/>
      </c>
    </row>
    <row r="56">
      <c r="A56" t="inlineStr">
        <is>
          <t>Year 1 cost of sales per $1 of new ARR</t>
        </is>
      </c>
      <c r="B56" s="21">
        <f>IF($B$54&gt;0,SUM('Rep cash'!$H$5:$H$16)/$B$54,0)</f>
        <v/>
      </c>
    </row>
    <row r="57">
      <c r="A57" t="inlineStr">
        <is>
          <t>Ramped-year cost of sales per $1 of new ARR</t>
        </is>
      </c>
      <c r="B57" s="18">
        <f>IF($B$8*$B$7&gt;0,($B$5+$B$37)*(1+$B$30)/($B$8*$B$7),0)</f>
        <v/>
      </c>
    </row>
  </sheetData>
  <dataValidations count="2">
    <dataValidation sqref="B25" showDropDown="0" showInputMessage="0" showErrorMessage="0" allowBlank="0" type="list">
      <formula1>"booking,cash"</formula1>
    </dataValidation>
    <dataValidation sqref="B26" showDropDown="0" showInputMessage="0" showErrorMessage="0" allowBlank="0" type="list">
      <formula1>"monthly,annual"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6" customWidth="1" min="10" max="10"/>
    <col width="10" customWidth="1" min="11" max="11"/>
  </cols>
  <sheetData>
    <row r="1">
      <c r="A1" s="1" t="inlineStr">
        <is>
          <t>One rep, month by month from their first month</t>
        </is>
      </c>
    </row>
    <row r="2">
      <c r="A2" s="2" t="inlineStr">
        <is>
          <t>Payback = first month where cumulative (gross margin x cash collected) covers cumulative (base / 12 + commission paid - clawbacks) x (1 + on-costs).</t>
        </is>
      </c>
    </row>
    <row r="4">
      <c r="A4" s="7" t="inlineStr">
        <is>
          <t>Month</t>
        </is>
      </c>
      <c r="B4" s="7" t="inlineStr">
        <is>
          <t>Ramp</t>
        </is>
      </c>
      <c r="C4" s="7" t="inlineStr">
        <is>
          <t>New ARR booked</t>
        </is>
      </c>
      <c r="D4" s="7" t="inlineStr">
        <is>
          <t>Cash collected</t>
        </is>
      </c>
      <c r="E4" s="7" t="inlineStr">
        <is>
          <t>Gross margin</t>
        </is>
      </c>
      <c r="F4" s="7" t="inlineStr">
        <is>
          <t>Commission paid</t>
        </is>
      </c>
      <c r="G4" s="7" t="inlineStr">
        <is>
          <t>Clawback</t>
        </is>
      </c>
      <c r="H4" s="7" t="inlineStr">
        <is>
          <t>Total cost</t>
        </is>
      </c>
      <c r="I4" s="7" t="inlineStr">
        <is>
          <t>Net</t>
        </is>
      </c>
      <c r="J4" s="7" t="inlineStr">
        <is>
          <t>Cumulative</t>
        </is>
      </c>
      <c r="K4" s="7" t="inlineStr">
        <is>
          <t>Paid back</t>
        </is>
      </c>
    </row>
    <row r="5">
      <c r="A5" t="n">
        <v>1</v>
      </c>
      <c r="B5" s="17">
        <f>MIN(1,MAX(0,Plan!$B$19))</f>
        <v/>
      </c>
      <c r="C5" s="12">
        <f>Plan!$B$7/12*B5*Plan!$B$8</f>
        <v/>
      </c>
      <c r="D5" s="12">
        <f>IF(Plan!$B$26="annual",(1-Plan!$B$40)*SUMPRODUCT(($A$5:$A$64&lt;=A5)*(MOD(A5-$A$5:$A$64,12)=0)*$C$5:$C$64)+Plan!$B$40*C5,((1-Plan!$B$40)*SUMIFS($C$5:$C$64,$A$5:$A$64,"&lt;="&amp;A5)+Plan!$B$40*SUMIFS($C$5:$C$64,$A$5:$A$64,"&gt;="&amp;(A5-Plan!$B$39+1),$A$5:$A$64,"&lt;="&amp;A5))/12)</f>
        <v/>
      </c>
      <c r="E5" s="12">
        <f>D5*Plan!$B$29</f>
        <v/>
      </c>
      <c r="F5" s="12">
        <f>IF(AND(Plan!$B$25="cash",Plan!$B$26&lt;&gt;"annual"),Plan!$B$38/12*((1-Plan!$B$40)*SUMIFS($C$5:$C$64,$A$5:$A$64,"&gt;="&amp;(A5-11),$A$5:$A$64,"&lt;="&amp;A5)+Plan!$B$40*SUMIFS($C$5:$C$64,$A$5:$A$64,"&gt;="&amp;(A5-Plan!$B$39+1),$A$5:$A$64,"&lt;="&amp;A5)),Plan!$B$38*C5)</f>
        <v/>
      </c>
      <c r="G5" s="12">
        <f>IF(Plan!$B$39&gt;0,IF(AND(Plan!$B$25="cash",Plan!$B$26&lt;&gt;"annual"),Plan!$B$38*SUMIFS($C$5:$C$64,$A$5:$A$64,A5-Plan!$B$39)/12*Plan!$B$40*Plan!$B$39,Plan!$B$38*SUMIFS($C$5:$C$64,$A$5:$A$64,A5-Plan!$B$39)*Plan!$B$40),0)</f>
        <v/>
      </c>
      <c r="H5" s="12">
        <f>(Plan!$B$5/12+F5-G5)*(1+Plan!$B$30)</f>
        <v/>
      </c>
      <c r="I5" s="12">
        <f>E5-H5</f>
        <v/>
      </c>
      <c r="J5" s="12">
        <f>I5</f>
        <v/>
      </c>
      <c r="K5">
        <f>IF(J5&gt;=0,A5,1E9)</f>
        <v/>
      </c>
    </row>
    <row r="6">
      <c r="A6" t="n">
        <v>2</v>
      </c>
      <c r="B6" s="17">
        <f>MIN(1,MAX(0,Plan!$B$20))</f>
        <v/>
      </c>
      <c r="C6" s="12">
        <f>Plan!$B$7/12*B6*Plan!$B$8</f>
        <v/>
      </c>
      <c r="D6" s="12">
        <f>IF(Plan!$B$26="annual",(1-Plan!$B$40)*SUMPRODUCT(($A$5:$A$64&lt;=A6)*(MOD(A6-$A$5:$A$64,12)=0)*$C$5:$C$64)+Plan!$B$40*C6,((1-Plan!$B$40)*SUMIFS($C$5:$C$64,$A$5:$A$64,"&lt;="&amp;A6)+Plan!$B$40*SUMIFS($C$5:$C$64,$A$5:$A$64,"&gt;="&amp;(A6-Plan!$B$39+1),$A$5:$A$64,"&lt;="&amp;A6))/12)</f>
        <v/>
      </c>
      <c r="E6" s="12">
        <f>D6*Plan!$B$29</f>
        <v/>
      </c>
      <c r="F6" s="12">
        <f>IF(AND(Plan!$B$25="cash",Plan!$B$26&lt;&gt;"annual"),Plan!$B$38/12*((1-Plan!$B$40)*SUMIFS($C$5:$C$64,$A$5:$A$64,"&gt;="&amp;(A6-11),$A$5:$A$64,"&lt;="&amp;A6)+Plan!$B$40*SUMIFS($C$5:$C$64,$A$5:$A$64,"&gt;="&amp;(A6-Plan!$B$39+1),$A$5:$A$64,"&lt;="&amp;A6)),Plan!$B$38*C6)</f>
        <v/>
      </c>
      <c r="G6" s="12">
        <f>IF(Plan!$B$39&gt;0,IF(AND(Plan!$B$25="cash",Plan!$B$26&lt;&gt;"annual"),Plan!$B$38*SUMIFS($C$5:$C$64,$A$5:$A$64,A6-Plan!$B$39)/12*Plan!$B$40*Plan!$B$39,Plan!$B$38*SUMIFS($C$5:$C$64,$A$5:$A$64,A6-Plan!$B$39)*Plan!$B$40),0)</f>
        <v/>
      </c>
      <c r="H6" s="12">
        <f>(Plan!$B$5/12+F6-G6)*(1+Plan!$B$30)</f>
        <v/>
      </c>
      <c r="I6" s="12">
        <f>E6-H6</f>
        <v/>
      </c>
      <c r="J6" s="12">
        <f>J5+I6</f>
        <v/>
      </c>
      <c r="K6">
        <f>IF(J6&gt;=0,A6,1E9)</f>
        <v/>
      </c>
    </row>
    <row r="7">
      <c r="A7" t="n">
        <v>3</v>
      </c>
      <c r="B7" s="17">
        <f>MIN(1,MAX(0,Plan!$B$21))</f>
        <v/>
      </c>
      <c r="C7" s="12">
        <f>Plan!$B$7/12*B7*Plan!$B$8</f>
        <v/>
      </c>
      <c r="D7" s="12">
        <f>IF(Plan!$B$26="annual",(1-Plan!$B$40)*SUMPRODUCT(($A$5:$A$64&lt;=A7)*(MOD(A7-$A$5:$A$64,12)=0)*$C$5:$C$64)+Plan!$B$40*C7,((1-Plan!$B$40)*SUMIFS($C$5:$C$64,$A$5:$A$64,"&lt;="&amp;A7)+Plan!$B$40*SUMIFS($C$5:$C$64,$A$5:$A$64,"&gt;="&amp;(A7-Plan!$B$39+1),$A$5:$A$64,"&lt;="&amp;A7))/12)</f>
        <v/>
      </c>
      <c r="E7" s="12">
        <f>D7*Plan!$B$29</f>
        <v/>
      </c>
      <c r="F7" s="12">
        <f>IF(AND(Plan!$B$25="cash",Plan!$B$26&lt;&gt;"annual"),Plan!$B$38/12*((1-Plan!$B$40)*SUMIFS($C$5:$C$64,$A$5:$A$64,"&gt;="&amp;(A7-11),$A$5:$A$64,"&lt;="&amp;A7)+Plan!$B$40*SUMIFS($C$5:$C$64,$A$5:$A$64,"&gt;="&amp;(A7-Plan!$B$39+1),$A$5:$A$64,"&lt;="&amp;A7)),Plan!$B$38*C7)</f>
        <v/>
      </c>
      <c r="G7" s="12">
        <f>IF(Plan!$B$39&gt;0,IF(AND(Plan!$B$25="cash",Plan!$B$26&lt;&gt;"annual"),Plan!$B$38*SUMIFS($C$5:$C$64,$A$5:$A$64,A7-Plan!$B$39)/12*Plan!$B$40*Plan!$B$39,Plan!$B$38*SUMIFS($C$5:$C$64,$A$5:$A$64,A7-Plan!$B$39)*Plan!$B$40),0)</f>
        <v/>
      </c>
      <c r="H7" s="12">
        <f>(Plan!$B$5/12+F7-G7)*(1+Plan!$B$30)</f>
        <v/>
      </c>
      <c r="I7" s="12">
        <f>E7-H7</f>
        <v/>
      </c>
      <c r="J7" s="12">
        <f>J6+I7</f>
        <v/>
      </c>
      <c r="K7">
        <f>IF(J7&gt;=0,A7,1E9)</f>
        <v/>
      </c>
    </row>
    <row r="8">
      <c r="A8" t="n">
        <v>4</v>
      </c>
      <c r="B8" s="17">
        <f>MIN(1,MAX(0,Plan!$B$22))</f>
        <v/>
      </c>
      <c r="C8" s="12">
        <f>Plan!$B$7/12*B8*Plan!$B$8</f>
        <v/>
      </c>
      <c r="D8" s="12">
        <f>IF(Plan!$B$26="annual",(1-Plan!$B$40)*SUMPRODUCT(($A$5:$A$64&lt;=A8)*(MOD(A8-$A$5:$A$64,12)=0)*$C$5:$C$64)+Plan!$B$40*C8,((1-Plan!$B$40)*SUMIFS($C$5:$C$64,$A$5:$A$64,"&lt;="&amp;A8)+Plan!$B$40*SUMIFS($C$5:$C$64,$A$5:$A$64,"&gt;="&amp;(A8-Plan!$B$39+1),$A$5:$A$64,"&lt;="&amp;A8))/12)</f>
        <v/>
      </c>
      <c r="E8" s="12">
        <f>D8*Plan!$B$29</f>
        <v/>
      </c>
      <c r="F8" s="12">
        <f>IF(AND(Plan!$B$25="cash",Plan!$B$26&lt;&gt;"annual"),Plan!$B$38/12*((1-Plan!$B$40)*SUMIFS($C$5:$C$64,$A$5:$A$64,"&gt;="&amp;(A8-11),$A$5:$A$64,"&lt;="&amp;A8)+Plan!$B$40*SUMIFS($C$5:$C$64,$A$5:$A$64,"&gt;="&amp;(A8-Plan!$B$39+1),$A$5:$A$64,"&lt;="&amp;A8)),Plan!$B$38*C8)</f>
        <v/>
      </c>
      <c r="G8" s="12">
        <f>IF(Plan!$B$39&gt;0,IF(AND(Plan!$B$25="cash",Plan!$B$26&lt;&gt;"annual"),Plan!$B$38*SUMIFS($C$5:$C$64,$A$5:$A$64,A8-Plan!$B$39)/12*Plan!$B$40*Plan!$B$39,Plan!$B$38*SUMIFS($C$5:$C$64,$A$5:$A$64,A8-Plan!$B$39)*Plan!$B$40),0)</f>
        <v/>
      </c>
      <c r="H8" s="12">
        <f>(Plan!$B$5/12+F8-G8)*(1+Plan!$B$30)</f>
        <v/>
      </c>
      <c r="I8" s="12">
        <f>E8-H8</f>
        <v/>
      </c>
      <c r="J8" s="12">
        <f>J7+I8</f>
        <v/>
      </c>
      <c r="K8">
        <f>IF(J8&gt;=0,A8,1E9)</f>
        <v/>
      </c>
    </row>
    <row r="9">
      <c r="A9" t="n">
        <v>5</v>
      </c>
      <c r="B9" s="17">
        <f>MIN(1,MAX(0,Plan!$B$23))</f>
        <v/>
      </c>
      <c r="C9" s="12">
        <f>Plan!$B$7/12*B9*Plan!$B$8</f>
        <v/>
      </c>
      <c r="D9" s="12">
        <f>IF(Plan!$B$26="annual",(1-Plan!$B$40)*SUMPRODUCT(($A$5:$A$64&lt;=A9)*(MOD(A9-$A$5:$A$64,12)=0)*$C$5:$C$64)+Plan!$B$40*C9,((1-Plan!$B$40)*SUMIFS($C$5:$C$64,$A$5:$A$64,"&lt;="&amp;A9)+Plan!$B$40*SUMIFS($C$5:$C$64,$A$5:$A$64,"&gt;="&amp;(A9-Plan!$B$39+1),$A$5:$A$64,"&lt;="&amp;A9))/12)</f>
        <v/>
      </c>
      <c r="E9" s="12">
        <f>D9*Plan!$B$29</f>
        <v/>
      </c>
      <c r="F9" s="12">
        <f>IF(AND(Plan!$B$25="cash",Plan!$B$26&lt;&gt;"annual"),Plan!$B$38/12*((1-Plan!$B$40)*SUMIFS($C$5:$C$64,$A$5:$A$64,"&gt;="&amp;(A9-11),$A$5:$A$64,"&lt;="&amp;A9)+Plan!$B$40*SUMIFS($C$5:$C$64,$A$5:$A$64,"&gt;="&amp;(A9-Plan!$B$39+1),$A$5:$A$64,"&lt;="&amp;A9)),Plan!$B$38*C9)</f>
        <v/>
      </c>
      <c r="G9" s="12">
        <f>IF(Plan!$B$39&gt;0,IF(AND(Plan!$B$25="cash",Plan!$B$26&lt;&gt;"annual"),Plan!$B$38*SUMIFS($C$5:$C$64,$A$5:$A$64,A9-Plan!$B$39)/12*Plan!$B$40*Plan!$B$39,Plan!$B$38*SUMIFS($C$5:$C$64,$A$5:$A$64,A9-Plan!$B$39)*Plan!$B$40),0)</f>
        <v/>
      </c>
      <c r="H9" s="12">
        <f>(Plan!$B$5/12+F9-G9)*(1+Plan!$B$30)</f>
        <v/>
      </c>
      <c r="I9" s="12">
        <f>E9-H9</f>
        <v/>
      </c>
      <c r="J9" s="12">
        <f>J8+I9</f>
        <v/>
      </c>
      <c r="K9">
        <f>IF(J9&gt;=0,A9,1E9)</f>
        <v/>
      </c>
    </row>
    <row r="10">
      <c r="A10" t="n">
        <v>6</v>
      </c>
      <c r="B10" s="17">
        <f>MIN(1,MAX(0,Plan!$B$24))</f>
        <v/>
      </c>
      <c r="C10" s="12">
        <f>Plan!$B$7/12*B10*Plan!$B$8</f>
        <v/>
      </c>
      <c r="D10" s="12">
        <f>IF(Plan!$B$26="annual",(1-Plan!$B$40)*SUMPRODUCT(($A$5:$A$64&lt;=A10)*(MOD(A10-$A$5:$A$64,12)=0)*$C$5:$C$64)+Plan!$B$40*C10,((1-Plan!$B$40)*SUMIFS($C$5:$C$64,$A$5:$A$64,"&lt;="&amp;A10)+Plan!$B$40*SUMIFS($C$5:$C$64,$A$5:$A$64,"&gt;="&amp;(A10-Plan!$B$39+1),$A$5:$A$64,"&lt;="&amp;A10))/12)</f>
        <v/>
      </c>
      <c r="E10" s="12">
        <f>D10*Plan!$B$29</f>
        <v/>
      </c>
      <c r="F10" s="12">
        <f>IF(AND(Plan!$B$25="cash",Plan!$B$26&lt;&gt;"annual"),Plan!$B$38/12*((1-Plan!$B$40)*SUMIFS($C$5:$C$64,$A$5:$A$64,"&gt;="&amp;(A10-11),$A$5:$A$64,"&lt;="&amp;A10)+Plan!$B$40*SUMIFS($C$5:$C$64,$A$5:$A$64,"&gt;="&amp;(A10-Plan!$B$39+1),$A$5:$A$64,"&lt;="&amp;A10)),Plan!$B$38*C10)</f>
        <v/>
      </c>
      <c r="G10" s="12">
        <f>IF(Plan!$B$39&gt;0,IF(AND(Plan!$B$25="cash",Plan!$B$26&lt;&gt;"annual"),Plan!$B$38*SUMIFS($C$5:$C$64,$A$5:$A$64,A10-Plan!$B$39)/12*Plan!$B$40*Plan!$B$39,Plan!$B$38*SUMIFS($C$5:$C$64,$A$5:$A$64,A10-Plan!$B$39)*Plan!$B$40),0)</f>
        <v/>
      </c>
      <c r="H10" s="12">
        <f>(Plan!$B$5/12+F10-G10)*(1+Plan!$B$30)</f>
        <v/>
      </c>
      <c r="I10" s="12">
        <f>E10-H10</f>
        <v/>
      </c>
      <c r="J10" s="12">
        <f>J9+I10</f>
        <v/>
      </c>
      <c r="K10">
        <f>IF(J10&gt;=0,A10,1E9)</f>
        <v/>
      </c>
    </row>
    <row r="11">
      <c r="A11" t="n">
        <v>7</v>
      </c>
      <c r="B11" s="17" t="n">
        <v>1</v>
      </c>
      <c r="C11" s="12">
        <f>Plan!$B$7/12*B11*Plan!$B$8</f>
        <v/>
      </c>
      <c r="D11" s="12">
        <f>IF(Plan!$B$26="annual",(1-Plan!$B$40)*SUMPRODUCT(($A$5:$A$64&lt;=A11)*(MOD(A11-$A$5:$A$64,12)=0)*$C$5:$C$64)+Plan!$B$40*C11,((1-Plan!$B$40)*SUMIFS($C$5:$C$64,$A$5:$A$64,"&lt;="&amp;A11)+Plan!$B$40*SUMIFS($C$5:$C$64,$A$5:$A$64,"&gt;="&amp;(A11-Plan!$B$39+1),$A$5:$A$64,"&lt;="&amp;A11))/12)</f>
        <v/>
      </c>
      <c r="E11" s="12">
        <f>D11*Plan!$B$29</f>
        <v/>
      </c>
      <c r="F11" s="12">
        <f>IF(AND(Plan!$B$25="cash",Plan!$B$26&lt;&gt;"annual"),Plan!$B$38/12*((1-Plan!$B$40)*SUMIFS($C$5:$C$64,$A$5:$A$64,"&gt;="&amp;(A11-11),$A$5:$A$64,"&lt;="&amp;A11)+Plan!$B$40*SUMIFS($C$5:$C$64,$A$5:$A$64,"&gt;="&amp;(A11-Plan!$B$39+1),$A$5:$A$64,"&lt;="&amp;A11)),Plan!$B$38*C11)</f>
        <v/>
      </c>
      <c r="G11" s="12">
        <f>IF(Plan!$B$39&gt;0,IF(AND(Plan!$B$25="cash",Plan!$B$26&lt;&gt;"annual"),Plan!$B$38*SUMIFS($C$5:$C$64,$A$5:$A$64,A11-Plan!$B$39)/12*Plan!$B$40*Plan!$B$39,Plan!$B$38*SUMIFS($C$5:$C$64,$A$5:$A$64,A11-Plan!$B$39)*Plan!$B$40),0)</f>
        <v/>
      </c>
      <c r="H11" s="12">
        <f>(Plan!$B$5/12+F11-G11)*(1+Plan!$B$30)</f>
        <v/>
      </c>
      <c r="I11" s="12">
        <f>E11-H11</f>
        <v/>
      </c>
      <c r="J11" s="12">
        <f>J10+I11</f>
        <v/>
      </c>
      <c r="K11">
        <f>IF(J11&gt;=0,A11,1E9)</f>
        <v/>
      </c>
    </row>
    <row r="12">
      <c r="A12" t="n">
        <v>8</v>
      </c>
      <c r="B12" s="17" t="n">
        <v>1</v>
      </c>
      <c r="C12" s="12">
        <f>Plan!$B$7/12*B12*Plan!$B$8</f>
        <v/>
      </c>
      <c r="D12" s="12">
        <f>IF(Plan!$B$26="annual",(1-Plan!$B$40)*SUMPRODUCT(($A$5:$A$64&lt;=A12)*(MOD(A12-$A$5:$A$64,12)=0)*$C$5:$C$64)+Plan!$B$40*C12,((1-Plan!$B$40)*SUMIFS($C$5:$C$64,$A$5:$A$64,"&lt;="&amp;A12)+Plan!$B$40*SUMIFS($C$5:$C$64,$A$5:$A$64,"&gt;="&amp;(A12-Plan!$B$39+1),$A$5:$A$64,"&lt;="&amp;A12))/12)</f>
        <v/>
      </c>
      <c r="E12" s="12">
        <f>D12*Plan!$B$29</f>
        <v/>
      </c>
      <c r="F12" s="12">
        <f>IF(AND(Plan!$B$25="cash",Plan!$B$26&lt;&gt;"annual"),Plan!$B$38/12*((1-Plan!$B$40)*SUMIFS($C$5:$C$64,$A$5:$A$64,"&gt;="&amp;(A12-11),$A$5:$A$64,"&lt;="&amp;A12)+Plan!$B$40*SUMIFS($C$5:$C$64,$A$5:$A$64,"&gt;="&amp;(A12-Plan!$B$39+1),$A$5:$A$64,"&lt;="&amp;A12)),Plan!$B$38*C12)</f>
        <v/>
      </c>
      <c r="G12" s="12">
        <f>IF(Plan!$B$39&gt;0,IF(AND(Plan!$B$25="cash",Plan!$B$26&lt;&gt;"annual"),Plan!$B$38*SUMIFS($C$5:$C$64,$A$5:$A$64,A12-Plan!$B$39)/12*Plan!$B$40*Plan!$B$39,Plan!$B$38*SUMIFS($C$5:$C$64,$A$5:$A$64,A12-Plan!$B$39)*Plan!$B$40),0)</f>
        <v/>
      </c>
      <c r="H12" s="12">
        <f>(Plan!$B$5/12+F12-G12)*(1+Plan!$B$30)</f>
        <v/>
      </c>
      <c r="I12" s="12">
        <f>E12-H12</f>
        <v/>
      </c>
      <c r="J12" s="12">
        <f>J11+I12</f>
        <v/>
      </c>
      <c r="K12">
        <f>IF(J12&gt;=0,A12,1E9)</f>
        <v/>
      </c>
    </row>
    <row r="13">
      <c r="A13" t="n">
        <v>9</v>
      </c>
      <c r="B13" s="17" t="n">
        <v>1</v>
      </c>
      <c r="C13" s="12">
        <f>Plan!$B$7/12*B13*Plan!$B$8</f>
        <v/>
      </c>
      <c r="D13" s="12">
        <f>IF(Plan!$B$26="annual",(1-Plan!$B$40)*SUMPRODUCT(($A$5:$A$64&lt;=A13)*(MOD(A13-$A$5:$A$64,12)=0)*$C$5:$C$64)+Plan!$B$40*C13,((1-Plan!$B$40)*SUMIFS($C$5:$C$64,$A$5:$A$64,"&lt;="&amp;A13)+Plan!$B$40*SUMIFS($C$5:$C$64,$A$5:$A$64,"&gt;="&amp;(A13-Plan!$B$39+1),$A$5:$A$64,"&lt;="&amp;A13))/12)</f>
        <v/>
      </c>
      <c r="E13" s="12">
        <f>D13*Plan!$B$29</f>
        <v/>
      </c>
      <c r="F13" s="12">
        <f>IF(AND(Plan!$B$25="cash",Plan!$B$26&lt;&gt;"annual"),Plan!$B$38/12*((1-Plan!$B$40)*SUMIFS($C$5:$C$64,$A$5:$A$64,"&gt;="&amp;(A13-11),$A$5:$A$64,"&lt;="&amp;A13)+Plan!$B$40*SUMIFS($C$5:$C$64,$A$5:$A$64,"&gt;="&amp;(A13-Plan!$B$39+1),$A$5:$A$64,"&lt;="&amp;A13)),Plan!$B$38*C13)</f>
        <v/>
      </c>
      <c r="G13" s="12">
        <f>IF(Plan!$B$39&gt;0,IF(AND(Plan!$B$25="cash",Plan!$B$26&lt;&gt;"annual"),Plan!$B$38*SUMIFS($C$5:$C$64,$A$5:$A$64,A13-Plan!$B$39)/12*Plan!$B$40*Plan!$B$39,Plan!$B$38*SUMIFS($C$5:$C$64,$A$5:$A$64,A13-Plan!$B$39)*Plan!$B$40),0)</f>
        <v/>
      </c>
      <c r="H13" s="12">
        <f>(Plan!$B$5/12+F13-G13)*(1+Plan!$B$30)</f>
        <v/>
      </c>
      <c r="I13" s="12">
        <f>E13-H13</f>
        <v/>
      </c>
      <c r="J13" s="12">
        <f>J12+I13</f>
        <v/>
      </c>
      <c r="K13">
        <f>IF(J13&gt;=0,A13,1E9)</f>
        <v/>
      </c>
    </row>
    <row r="14">
      <c r="A14" t="n">
        <v>10</v>
      </c>
      <c r="B14" s="17" t="n">
        <v>1</v>
      </c>
      <c r="C14" s="12">
        <f>Plan!$B$7/12*B14*Plan!$B$8</f>
        <v/>
      </c>
      <c r="D14" s="12">
        <f>IF(Plan!$B$26="annual",(1-Plan!$B$40)*SUMPRODUCT(($A$5:$A$64&lt;=A14)*(MOD(A14-$A$5:$A$64,12)=0)*$C$5:$C$64)+Plan!$B$40*C14,((1-Plan!$B$40)*SUMIFS($C$5:$C$64,$A$5:$A$64,"&lt;="&amp;A14)+Plan!$B$40*SUMIFS($C$5:$C$64,$A$5:$A$64,"&gt;="&amp;(A14-Plan!$B$39+1),$A$5:$A$64,"&lt;="&amp;A14))/12)</f>
        <v/>
      </c>
      <c r="E14" s="12">
        <f>D14*Plan!$B$29</f>
        <v/>
      </c>
      <c r="F14" s="12">
        <f>IF(AND(Plan!$B$25="cash",Plan!$B$26&lt;&gt;"annual"),Plan!$B$38/12*((1-Plan!$B$40)*SUMIFS($C$5:$C$64,$A$5:$A$64,"&gt;="&amp;(A14-11),$A$5:$A$64,"&lt;="&amp;A14)+Plan!$B$40*SUMIFS($C$5:$C$64,$A$5:$A$64,"&gt;="&amp;(A14-Plan!$B$39+1),$A$5:$A$64,"&lt;="&amp;A14)),Plan!$B$38*C14)</f>
        <v/>
      </c>
      <c r="G14" s="12">
        <f>IF(Plan!$B$39&gt;0,IF(AND(Plan!$B$25="cash",Plan!$B$26&lt;&gt;"annual"),Plan!$B$38*SUMIFS($C$5:$C$64,$A$5:$A$64,A14-Plan!$B$39)/12*Plan!$B$40*Plan!$B$39,Plan!$B$38*SUMIFS($C$5:$C$64,$A$5:$A$64,A14-Plan!$B$39)*Plan!$B$40),0)</f>
        <v/>
      </c>
      <c r="H14" s="12">
        <f>(Plan!$B$5/12+F14-G14)*(1+Plan!$B$30)</f>
        <v/>
      </c>
      <c r="I14" s="12">
        <f>E14-H14</f>
        <v/>
      </c>
      <c r="J14" s="12">
        <f>J13+I14</f>
        <v/>
      </c>
      <c r="K14">
        <f>IF(J14&gt;=0,A14,1E9)</f>
        <v/>
      </c>
    </row>
    <row r="15">
      <c r="A15" t="n">
        <v>11</v>
      </c>
      <c r="B15" s="17" t="n">
        <v>1</v>
      </c>
      <c r="C15" s="12">
        <f>Plan!$B$7/12*B15*Plan!$B$8</f>
        <v/>
      </c>
      <c r="D15" s="12">
        <f>IF(Plan!$B$26="annual",(1-Plan!$B$40)*SUMPRODUCT(($A$5:$A$64&lt;=A15)*(MOD(A15-$A$5:$A$64,12)=0)*$C$5:$C$64)+Plan!$B$40*C15,((1-Plan!$B$40)*SUMIFS($C$5:$C$64,$A$5:$A$64,"&lt;="&amp;A15)+Plan!$B$40*SUMIFS($C$5:$C$64,$A$5:$A$64,"&gt;="&amp;(A15-Plan!$B$39+1),$A$5:$A$64,"&lt;="&amp;A15))/12)</f>
        <v/>
      </c>
      <c r="E15" s="12">
        <f>D15*Plan!$B$29</f>
        <v/>
      </c>
      <c r="F15" s="12">
        <f>IF(AND(Plan!$B$25="cash",Plan!$B$26&lt;&gt;"annual"),Plan!$B$38/12*((1-Plan!$B$40)*SUMIFS($C$5:$C$64,$A$5:$A$64,"&gt;="&amp;(A15-11),$A$5:$A$64,"&lt;="&amp;A15)+Plan!$B$40*SUMIFS($C$5:$C$64,$A$5:$A$64,"&gt;="&amp;(A15-Plan!$B$39+1),$A$5:$A$64,"&lt;="&amp;A15)),Plan!$B$38*C15)</f>
        <v/>
      </c>
      <c r="G15" s="12">
        <f>IF(Plan!$B$39&gt;0,IF(AND(Plan!$B$25="cash",Plan!$B$26&lt;&gt;"annual"),Plan!$B$38*SUMIFS($C$5:$C$64,$A$5:$A$64,A15-Plan!$B$39)/12*Plan!$B$40*Plan!$B$39,Plan!$B$38*SUMIFS($C$5:$C$64,$A$5:$A$64,A15-Plan!$B$39)*Plan!$B$40),0)</f>
        <v/>
      </c>
      <c r="H15" s="12">
        <f>(Plan!$B$5/12+F15-G15)*(1+Plan!$B$30)</f>
        <v/>
      </c>
      <c r="I15" s="12">
        <f>E15-H15</f>
        <v/>
      </c>
      <c r="J15" s="12">
        <f>J14+I15</f>
        <v/>
      </c>
      <c r="K15">
        <f>IF(J15&gt;=0,A15,1E9)</f>
        <v/>
      </c>
    </row>
    <row r="16">
      <c r="A16" t="n">
        <v>12</v>
      </c>
      <c r="B16" s="17" t="n">
        <v>1</v>
      </c>
      <c r="C16" s="12">
        <f>Plan!$B$7/12*B16*Plan!$B$8</f>
        <v/>
      </c>
      <c r="D16" s="12">
        <f>IF(Plan!$B$26="annual",(1-Plan!$B$40)*SUMPRODUCT(($A$5:$A$64&lt;=A16)*(MOD(A16-$A$5:$A$64,12)=0)*$C$5:$C$64)+Plan!$B$40*C16,((1-Plan!$B$40)*SUMIFS($C$5:$C$64,$A$5:$A$64,"&lt;="&amp;A16)+Plan!$B$40*SUMIFS($C$5:$C$64,$A$5:$A$64,"&gt;="&amp;(A16-Plan!$B$39+1),$A$5:$A$64,"&lt;="&amp;A16))/12)</f>
        <v/>
      </c>
      <c r="E16" s="12">
        <f>D16*Plan!$B$29</f>
        <v/>
      </c>
      <c r="F16" s="12">
        <f>IF(AND(Plan!$B$25="cash",Plan!$B$26&lt;&gt;"annual"),Plan!$B$38/12*((1-Plan!$B$40)*SUMIFS($C$5:$C$64,$A$5:$A$64,"&gt;="&amp;(A16-11),$A$5:$A$64,"&lt;="&amp;A16)+Plan!$B$40*SUMIFS($C$5:$C$64,$A$5:$A$64,"&gt;="&amp;(A16-Plan!$B$39+1),$A$5:$A$64,"&lt;="&amp;A16)),Plan!$B$38*C16)</f>
        <v/>
      </c>
      <c r="G16" s="12">
        <f>IF(Plan!$B$39&gt;0,IF(AND(Plan!$B$25="cash",Plan!$B$26&lt;&gt;"annual"),Plan!$B$38*SUMIFS($C$5:$C$64,$A$5:$A$64,A16-Plan!$B$39)/12*Plan!$B$40*Plan!$B$39,Plan!$B$38*SUMIFS($C$5:$C$64,$A$5:$A$64,A16-Plan!$B$39)*Plan!$B$40),0)</f>
        <v/>
      </c>
      <c r="H16" s="12">
        <f>(Plan!$B$5/12+F16-G16)*(1+Plan!$B$30)</f>
        <v/>
      </c>
      <c r="I16" s="12">
        <f>E16-H16</f>
        <v/>
      </c>
      <c r="J16" s="12">
        <f>J15+I16</f>
        <v/>
      </c>
      <c r="K16">
        <f>IF(J16&gt;=0,A16,1E9)</f>
        <v/>
      </c>
    </row>
    <row r="17">
      <c r="A17" t="n">
        <v>13</v>
      </c>
      <c r="B17" s="17" t="n">
        <v>1</v>
      </c>
      <c r="C17" s="12">
        <f>Plan!$B$7/12*B17*Plan!$B$8</f>
        <v/>
      </c>
      <c r="D17" s="12">
        <f>IF(Plan!$B$26="annual",(1-Plan!$B$40)*SUMPRODUCT(($A$5:$A$64&lt;=A17)*(MOD(A17-$A$5:$A$64,12)=0)*$C$5:$C$64)+Plan!$B$40*C17,((1-Plan!$B$40)*SUMIFS($C$5:$C$64,$A$5:$A$64,"&lt;="&amp;A17)+Plan!$B$40*SUMIFS($C$5:$C$64,$A$5:$A$64,"&gt;="&amp;(A17-Plan!$B$39+1),$A$5:$A$64,"&lt;="&amp;A17))/12)</f>
        <v/>
      </c>
      <c r="E17" s="12">
        <f>D17*Plan!$B$29</f>
        <v/>
      </c>
      <c r="F17" s="12">
        <f>IF(AND(Plan!$B$25="cash",Plan!$B$26&lt;&gt;"annual"),Plan!$B$38/12*((1-Plan!$B$40)*SUMIFS($C$5:$C$64,$A$5:$A$64,"&gt;="&amp;(A17-11),$A$5:$A$64,"&lt;="&amp;A17)+Plan!$B$40*SUMIFS($C$5:$C$64,$A$5:$A$64,"&gt;="&amp;(A17-Plan!$B$39+1),$A$5:$A$64,"&lt;="&amp;A17)),Plan!$B$38*C17)</f>
        <v/>
      </c>
      <c r="G17" s="12">
        <f>IF(Plan!$B$39&gt;0,IF(AND(Plan!$B$25="cash",Plan!$B$26&lt;&gt;"annual"),Plan!$B$38*SUMIFS($C$5:$C$64,$A$5:$A$64,A17-Plan!$B$39)/12*Plan!$B$40*Plan!$B$39,Plan!$B$38*SUMIFS($C$5:$C$64,$A$5:$A$64,A17-Plan!$B$39)*Plan!$B$40),0)</f>
        <v/>
      </c>
      <c r="H17" s="12">
        <f>(Plan!$B$5/12+F17-G17)*(1+Plan!$B$30)</f>
        <v/>
      </c>
      <c r="I17" s="12">
        <f>E17-H17</f>
        <v/>
      </c>
      <c r="J17" s="12">
        <f>J16+I17</f>
        <v/>
      </c>
      <c r="K17">
        <f>IF(J17&gt;=0,A17,1E9)</f>
        <v/>
      </c>
    </row>
    <row r="18">
      <c r="A18" t="n">
        <v>14</v>
      </c>
      <c r="B18" s="17" t="n">
        <v>1</v>
      </c>
      <c r="C18" s="12">
        <f>Plan!$B$7/12*B18*Plan!$B$8</f>
        <v/>
      </c>
      <c r="D18" s="12">
        <f>IF(Plan!$B$26="annual",(1-Plan!$B$40)*SUMPRODUCT(($A$5:$A$64&lt;=A18)*(MOD(A18-$A$5:$A$64,12)=0)*$C$5:$C$64)+Plan!$B$40*C18,((1-Plan!$B$40)*SUMIFS($C$5:$C$64,$A$5:$A$64,"&lt;="&amp;A18)+Plan!$B$40*SUMIFS($C$5:$C$64,$A$5:$A$64,"&gt;="&amp;(A18-Plan!$B$39+1),$A$5:$A$64,"&lt;="&amp;A18))/12)</f>
        <v/>
      </c>
      <c r="E18" s="12">
        <f>D18*Plan!$B$29</f>
        <v/>
      </c>
      <c r="F18" s="12">
        <f>IF(AND(Plan!$B$25="cash",Plan!$B$26&lt;&gt;"annual"),Plan!$B$38/12*((1-Plan!$B$40)*SUMIFS($C$5:$C$64,$A$5:$A$64,"&gt;="&amp;(A18-11),$A$5:$A$64,"&lt;="&amp;A18)+Plan!$B$40*SUMIFS($C$5:$C$64,$A$5:$A$64,"&gt;="&amp;(A18-Plan!$B$39+1),$A$5:$A$64,"&lt;="&amp;A18)),Plan!$B$38*C18)</f>
        <v/>
      </c>
      <c r="G18" s="12">
        <f>IF(Plan!$B$39&gt;0,IF(AND(Plan!$B$25="cash",Plan!$B$26&lt;&gt;"annual"),Plan!$B$38*SUMIFS($C$5:$C$64,$A$5:$A$64,A18-Plan!$B$39)/12*Plan!$B$40*Plan!$B$39,Plan!$B$38*SUMIFS($C$5:$C$64,$A$5:$A$64,A18-Plan!$B$39)*Plan!$B$40),0)</f>
        <v/>
      </c>
      <c r="H18" s="12">
        <f>(Plan!$B$5/12+F18-G18)*(1+Plan!$B$30)</f>
        <v/>
      </c>
      <c r="I18" s="12">
        <f>E18-H18</f>
        <v/>
      </c>
      <c r="J18" s="12">
        <f>J17+I18</f>
        <v/>
      </c>
      <c r="K18">
        <f>IF(J18&gt;=0,A18,1E9)</f>
        <v/>
      </c>
    </row>
    <row r="19">
      <c r="A19" t="n">
        <v>15</v>
      </c>
      <c r="B19" s="17" t="n">
        <v>1</v>
      </c>
      <c r="C19" s="12">
        <f>Plan!$B$7/12*B19*Plan!$B$8</f>
        <v/>
      </c>
      <c r="D19" s="12">
        <f>IF(Plan!$B$26="annual",(1-Plan!$B$40)*SUMPRODUCT(($A$5:$A$64&lt;=A19)*(MOD(A19-$A$5:$A$64,12)=0)*$C$5:$C$64)+Plan!$B$40*C19,((1-Plan!$B$40)*SUMIFS($C$5:$C$64,$A$5:$A$64,"&lt;="&amp;A19)+Plan!$B$40*SUMIFS($C$5:$C$64,$A$5:$A$64,"&gt;="&amp;(A19-Plan!$B$39+1),$A$5:$A$64,"&lt;="&amp;A19))/12)</f>
        <v/>
      </c>
      <c r="E19" s="12">
        <f>D19*Plan!$B$29</f>
        <v/>
      </c>
      <c r="F19" s="12">
        <f>IF(AND(Plan!$B$25="cash",Plan!$B$26&lt;&gt;"annual"),Plan!$B$38/12*((1-Plan!$B$40)*SUMIFS($C$5:$C$64,$A$5:$A$64,"&gt;="&amp;(A19-11),$A$5:$A$64,"&lt;="&amp;A19)+Plan!$B$40*SUMIFS($C$5:$C$64,$A$5:$A$64,"&gt;="&amp;(A19-Plan!$B$39+1),$A$5:$A$64,"&lt;="&amp;A19)),Plan!$B$38*C19)</f>
        <v/>
      </c>
      <c r="G19" s="12">
        <f>IF(Plan!$B$39&gt;0,IF(AND(Plan!$B$25="cash",Plan!$B$26&lt;&gt;"annual"),Plan!$B$38*SUMIFS($C$5:$C$64,$A$5:$A$64,A19-Plan!$B$39)/12*Plan!$B$40*Plan!$B$39,Plan!$B$38*SUMIFS($C$5:$C$64,$A$5:$A$64,A19-Plan!$B$39)*Plan!$B$40),0)</f>
        <v/>
      </c>
      <c r="H19" s="12">
        <f>(Plan!$B$5/12+F19-G19)*(1+Plan!$B$30)</f>
        <v/>
      </c>
      <c r="I19" s="12">
        <f>E19-H19</f>
        <v/>
      </c>
      <c r="J19" s="12">
        <f>J18+I19</f>
        <v/>
      </c>
      <c r="K19">
        <f>IF(J19&gt;=0,A19,1E9)</f>
        <v/>
      </c>
    </row>
    <row r="20">
      <c r="A20" t="n">
        <v>16</v>
      </c>
      <c r="B20" s="17" t="n">
        <v>1</v>
      </c>
      <c r="C20" s="12">
        <f>Plan!$B$7/12*B20*Plan!$B$8</f>
        <v/>
      </c>
      <c r="D20" s="12">
        <f>IF(Plan!$B$26="annual",(1-Plan!$B$40)*SUMPRODUCT(($A$5:$A$64&lt;=A20)*(MOD(A20-$A$5:$A$64,12)=0)*$C$5:$C$64)+Plan!$B$40*C20,((1-Plan!$B$40)*SUMIFS($C$5:$C$64,$A$5:$A$64,"&lt;="&amp;A20)+Plan!$B$40*SUMIFS($C$5:$C$64,$A$5:$A$64,"&gt;="&amp;(A20-Plan!$B$39+1),$A$5:$A$64,"&lt;="&amp;A20))/12)</f>
        <v/>
      </c>
      <c r="E20" s="12">
        <f>D20*Plan!$B$29</f>
        <v/>
      </c>
      <c r="F20" s="12">
        <f>IF(AND(Plan!$B$25="cash",Plan!$B$26&lt;&gt;"annual"),Plan!$B$38/12*((1-Plan!$B$40)*SUMIFS($C$5:$C$64,$A$5:$A$64,"&gt;="&amp;(A20-11),$A$5:$A$64,"&lt;="&amp;A20)+Plan!$B$40*SUMIFS($C$5:$C$64,$A$5:$A$64,"&gt;="&amp;(A20-Plan!$B$39+1),$A$5:$A$64,"&lt;="&amp;A20)),Plan!$B$38*C20)</f>
        <v/>
      </c>
      <c r="G20" s="12">
        <f>IF(Plan!$B$39&gt;0,IF(AND(Plan!$B$25="cash",Plan!$B$26&lt;&gt;"annual"),Plan!$B$38*SUMIFS($C$5:$C$64,$A$5:$A$64,A20-Plan!$B$39)/12*Plan!$B$40*Plan!$B$39,Plan!$B$38*SUMIFS($C$5:$C$64,$A$5:$A$64,A20-Plan!$B$39)*Plan!$B$40),0)</f>
        <v/>
      </c>
      <c r="H20" s="12">
        <f>(Plan!$B$5/12+F20-G20)*(1+Plan!$B$30)</f>
        <v/>
      </c>
      <c r="I20" s="12">
        <f>E20-H20</f>
        <v/>
      </c>
      <c r="J20" s="12">
        <f>J19+I20</f>
        <v/>
      </c>
      <c r="K20">
        <f>IF(J20&gt;=0,A20,1E9)</f>
        <v/>
      </c>
    </row>
    <row r="21">
      <c r="A21" t="n">
        <v>17</v>
      </c>
      <c r="B21" s="17" t="n">
        <v>1</v>
      </c>
      <c r="C21" s="12">
        <f>Plan!$B$7/12*B21*Plan!$B$8</f>
        <v/>
      </c>
      <c r="D21" s="12">
        <f>IF(Plan!$B$26="annual",(1-Plan!$B$40)*SUMPRODUCT(($A$5:$A$64&lt;=A21)*(MOD(A21-$A$5:$A$64,12)=0)*$C$5:$C$64)+Plan!$B$40*C21,((1-Plan!$B$40)*SUMIFS($C$5:$C$64,$A$5:$A$64,"&lt;="&amp;A21)+Plan!$B$40*SUMIFS($C$5:$C$64,$A$5:$A$64,"&gt;="&amp;(A21-Plan!$B$39+1),$A$5:$A$64,"&lt;="&amp;A21))/12)</f>
        <v/>
      </c>
      <c r="E21" s="12">
        <f>D21*Plan!$B$29</f>
        <v/>
      </c>
      <c r="F21" s="12">
        <f>IF(AND(Plan!$B$25="cash",Plan!$B$26&lt;&gt;"annual"),Plan!$B$38/12*((1-Plan!$B$40)*SUMIFS($C$5:$C$64,$A$5:$A$64,"&gt;="&amp;(A21-11),$A$5:$A$64,"&lt;="&amp;A21)+Plan!$B$40*SUMIFS($C$5:$C$64,$A$5:$A$64,"&gt;="&amp;(A21-Plan!$B$39+1),$A$5:$A$64,"&lt;="&amp;A21)),Plan!$B$38*C21)</f>
        <v/>
      </c>
      <c r="G21" s="12">
        <f>IF(Plan!$B$39&gt;0,IF(AND(Plan!$B$25="cash",Plan!$B$26&lt;&gt;"annual"),Plan!$B$38*SUMIFS($C$5:$C$64,$A$5:$A$64,A21-Plan!$B$39)/12*Plan!$B$40*Plan!$B$39,Plan!$B$38*SUMIFS($C$5:$C$64,$A$5:$A$64,A21-Plan!$B$39)*Plan!$B$40),0)</f>
        <v/>
      </c>
      <c r="H21" s="12">
        <f>(Plan!$B$5/12+F21-G21)*(1+Plan!$B$30)</f>
        <v/>
      </c>
      <c r="I21" s="12">
        <f>E21-H21</f>
        <v/>
      </c>
      <c r="J21" s="12">
        <f>J20+I21</f>
        <v/>
      </c>
      <c r="K21">
        <f>IF(J21&gt;=0,A21,1E9)</f>
        <v/>
      </c>
    </row>
    <row r="22">
      <c r="A22" t="n">
        <v>18</v>
      </c>
      <c r="B22" s="17" t="n">
        <v>1</v>
      </c>
      <c r="C22" s="12">
        <f>Plan!$B$7/12*B22*Plan!$B$8</f>
        <v/>
      </c>
      <c r="D22" s="12">
        <f>IF(Plan!$B$26="annual",(1-Plan!$B$40)*SUMPRODUCT(($A$5:$A$64&lt;=A22)*(MOD(A22-$A$5:$A$64,12)=0)*$C$5:$C$64)+Plan!$B$40*C22,((1-Plan!$B$40)*SUMIFS($C$5:$C$64,$A$5:$A$64,"&lt;="&amp;A22)+Plan!$B$40*SUMIFS($C$5:$C$64,$A$5:$A$64,"&gt;="&amp;(A22-Plan!$B$39+1),$A$5:$A$64,"&lt;="&amp;A22))/12)</f>
        <v/>
      </c>
      <c r="E22" s="12">
        <f>D22*Plan!$B$29</f>
        <v/>
      </c>
      <c r="F22" s="12">
        <f>IF(AND(Plan!$B$25="cash",Plan!$B$26&lt;&gt;"annual"),Plan!$B$38/12*((1-Plan!$B$40)*SUMIFS($C$5:$C$64,$A$5:$A$64,"&gt;="&amp;(A22-11),$A$5:$A$64,"&lt;="&amp;A22)+Plan!$B$40*SUMIFS($C$5:$C$64,$A$5:$A$64,"&gt;="&amp;(A22-Plan!$B$39+1),$A$5:$A$64,"&lt;="&amp;A22)),Plan!$B$38*C22)</f>
        <v/>
      </c>
      <c r="G22" s="12">
        <f>IF(Plan!$B$39&gt;0,IF(AND(Plan!$B$25="cash",Plan!$B$26&lt;&gt;"annual"),Plan!$B$38*SUMIFS($C$5:$C$64,$A$5:$A$64,A22-Plan!$B$39)/12*Plan!$B$40*Plan!$B$39,Plan!$B$38*SUMIFS($C$5:$C$64,$A$5:$A$64,A22-Plan!$B$39)*Plan!$B$40),0)</f>
        <v/>
      </c>
      <c r="H22" s="12">
        <f>(Plan!$B$5/12+F22-G22)*(1+Plan!$B$30)</f>
        <v/>
      </c>
      <c r="I22" s="12">
        <f>E22-H22</f>
        <v/>
      </c>
      <c r="J22" s="12">
        <f>J21+I22</f>
        <v/>
      </c>
      <c r="K22">
        <f>IF(J22&gt;=0,A22,1E9)</f>
        <v/>
      </c>
    </row>
    <row r="23">
      <c r="A23" t="n">
        <v>19</v>
      </c>
      <c r="B23" s="17" t="n">
        <v>1</v>
      </c>
      <c r="C23" s="12">
        <f>Plan!$B$7/12*B23*Plan!$B$8</f>
        <v/>
      </c>
      <c r="D23" s="12">
        <f>IF(Plan!$B$26="annual",(1-Plan!$B$40)*SUMPRODUCT(($A$5:$A$64&lt;=A23)*(MOD(A23-$A$5:$A$64,12)=0)*$C$5:$C$64)+Plan!$B$40*C23,((1-Plan!$B$40)*SUMIFS($C$5:$C$64,$A$5:$A$64,"&lt;="&amp;A23)+Plan!$B$40*SUMIFS($C$5:$C$64,$A$5:$A$64,"&gt;="&amp;(A23-Plan!$B$39+1),$A$5:$A$64,"&lt;="&amp;A23))/12)</f>
        <v/>
      </c>
      <c r="E23" s="12">
        <f>D23*Plan!$B$29</f>
        <v/>
      </c>
      <c r="F23" s="12">
        <f>IF(AND(Plan!$B$25="cash",Plan!$B$26&lt;&gt;"annual"),Plan!$B$38/12*((1-Plan!$B$40)*SUMIFS($C$5:$C$64,$A$5:$A$64,"&gt;="&amp;(A23-11),$A$5:$A$64,"&lt;="&amp;A23)+Plan!$B$40*SUMIFS($C$5:$C$64,$A$5:$A$64,"&gt;="&amp;(A23-Plan!$B$39+1),$A$5:$A$64,"&lt;="&amp;A23)),Plan!$B$38*C23)</f>
        <v/>
      </c>
      <c r="G23" s="12">
        <f>IF(Plan!$B$39&gt;0,IF(AND(Plan!$B$25="cash",Plan!$B$26&lt;&gt;"annual"),Plan!$B$38*SUMIFS($C$5:$C$64,$A$5:$A$64,A23-Plan!$B$39)/12*Plan!$B$40*Plan!$B$39,Plan!$B$38*SUMIFS($C$5:$C$64,$A$5:$A$64,A23-Plan!$B$39)*Plan!$B$40),0)</f>
        <v/>
      </c>
      <c r="H23" s="12">
        <f>(Plan!$B$5/12+F23-G23)*(1+Plan!$B$30)</f>
        <v/>
      </c>
      <c r="I23" s="12">
        <f>E23-H23</f>
        <v/>
      </c>
      <c r="J23" s="12">
        <f>J22+I23</f>
        <v/>
      </c>
      <c r="K23">
        <f>IF(J23&gt;=0,A23,1E9)</f>
        <v/>
      </c>
    </row>
    <row r="24">
      <c r="A24" t="n">
        <v>20</v>
      </c>
      <c r="B24" s="17" t="n">
        <v>1</v>
      </c>
      <c r="C24" s="12">
        <f>Plan!$B$7/12*B24*Plan!$B$8</f>
        <v/>
      </c>
      <c r="D24" s="12">
        <f>IF(Plan!$B$26="annual",(1-Plan!$B$40)*SUMPRODUCT(($A$5:$A$64&lt;=A24)*(MOD(A24-$A$5:$A$64,12)=0)*$C$5:$C$64)+Plan!$B$40*C24,((1-Plan!$B$40)*SUMIFS($C$5:$C$64,$A$5:$A$64,"&lt;="&amp;A24)+Plan!$B$40*SUMIFS($C$5:$C$64,$A$5:$A$64,"&gt;="&amp;(A24-Plan!$B$39+1),$A$5:$A$64,"&lt;="&amp;A24))/12)</f>
        <v/>
      </c>
      <c r="E24" s="12">
        <f>D24*Plan!$B$29</f>
        <v/>
      </c>
      <c r="F24" s="12">
        <f>IF(AND(Plan!$B$25="cash",Plan!$B$26&lt;&gt;"annual"),Plan!$B$38/12*((1-Plan!$B$40)*SUMIFS($C$5:$C$64,$A$5:$A$64,"&gt;="&amp;(A24-11),$A$5:$A$64,"&lt;="&amp;A24)+Plan!$B$40*SUMIFS($C$5:$C$64,$A$5:$A$64,"&gt;="&amp;(A24-Plan!$B$39+1),$A$5:$A$64,"&lt;="&amp;A24)),Plan!$B$38*C24)</f>
        <v/>
      </c>
      <c r="G24" s="12">
        <f>IF(Plan!$B$39&gt;0,IF(AND(Plan!$B$25="cash",Plan!$B$26&lt;&gt;"annual"),Plan!$B$38*SUMIFS($C$5:$C$64,$A$5:$A$64,A24-Plan!$B$39)/12*Plan!$B$40*Plan!$B$39,Plan!$B$38*SUMIFS($C$5:$C$64,$A$5:$A$64,A24-Plan!$B$39)*Plan!$B$40),0)</f>
        <v/>
      </c>
      <c r="H24" s="12">
        <f>(Plan!$B$5/12+F24-G24)*(1+Plan!$B$30)</f>
        <v/>
      </c>
      <c r="I24" s="12">
        <f>E24-H24</f>
        <v/>
      </c>
      <c r="J24" s="12">
        <f>J23+I24</f>
        <v/>
      </c>
      <c r="K24">
        <f>IF(J24&gt;=0,A24,1E9)</f>
        <v/>
      </c>
    </row>
    <row r="25">
      <c r="A25" t="n">
        <v>21</v>
      </c>
      <c r="B25" s="17" t="n">
        <v>1</v>
      </c>
      <c r="C25" s="12">
        <f>Plan!$B$7/12*B25*Plan!$B$8</f>
        <v/>
      </c>
      <c r="D25" s="12">
        <f>IF(Plan!$B$26="annual",(1-Plan!$B$40)*SUMPRODUCT(($A$5:$A$64&lt;=A25)*(MOD(A25-$A$5:$A$64,12)=0)*$C$5:$C$64)+Plan!$B$40*C25,((1-Plan!$B$40)*SUMIFS($C$5:$C$64,$A$5:$A$64,"&lt;="&amp;A25)+Plan!$B$40*SUMIFS($C$5:$C$64,$A$5:$A$64,"&gt;="&amp;(A25-Plan!$B$39+1),$A$5:$A$64,"&lt;="&amp;A25))/12)</f>
        <v/>
      </c>
      <c r="E25" s="12">
        <f>D25*Plan!$B$29</f>
        <v/>
      </c>
      <c r="F25" s="12">
        <f>IF(AND(Plan!$B$25="cash",Plan!$B$26&lt;&gt;"annual"),Plan!$B$38/12*((1-Plan!$B$40)*SUMIFS($C$5:$C$64,$A$5:$A$64,"&gt;="&amp;(A25-11),$A$5:$A$64,"&lt;="&amp;A25)+Plan!$B$40*SUMIFS($C$5:$C$64,$A$5:$A$64,"&gt;="&amp;(A25-Plan!$B$39+1),$A$5:$A$64,"&lt;="&amp;A25)),Plan!$B$38*C25)</f>
        <v/>
      </c>
      <c r="G25" s="12">
        <f>IF(Plan!$B$39&gt;0,IF(AND(Plan!$B$25="cash",Plan!$B$26&lt;&gt;"annual"),Plan!$B$38*SUMIFS($C$5:$C$64,$A$5:$A$64,A25-Plan!$B$39)/12*Plan!$B$40*Plan!$B$39,Plan!$B$38*SUMIFS($C$5:$C$64,$A$5:$A$64,A25-Plan!$B$39)*Plan!$B$40),0)</f>
        <v/>
      </c>
      <c r="H25" s="12">
        <f>(Plan!$B$5/12+F25-G25)*(1+Plan!$B$30)</f>
        <v/>
      </c>
      <c r="I25" s="12">
        <f>E25-H25</f>
        <v/>
      </c>
      <c r="J25" s="12">
        <f>J24+I25</f>
        <v/>
      </c>
      <c r="K25">
        <f>IF(J25&gt;=0,A25,1E9)</f>
        <v/>
      </c>
    </row>
    <row r="26">
      <c r="A26" t="n">
        <v>22</v>
      </c>
      <c r="B26" s="17" t="n">
        <v>1</v>
      </c>
      <c r="C26" s="12">
        <f>Plan!$B$7/12*B26*Plan!$B$8</f>
        <v/>
      </c>
      <c r="D26" s="12">
        <f>IF(Plan!$B$26="annual",(1-Plan!$B$40)*SUMPRODUCT(($A$5:$A$64&lt;=A26)*(MOD(A26-$A$5:$A$64,12)=0)*$C$5:$C$64)+Plan!$B$40*C26,((1-Plan!$B$40)*SUMIFS($C$5:$C$64,$A$5:$A$64,"&lt;="&amp;A26)+Plan!$B$40*SUMIFS($C$5:$C$64,$A$5:$A$64,"&gt;="&amp;(A26-Plan!$B$39+1),$A$5:$A$64,"&lt;="&amp;A26))/12)</f>
        <v/>
      </c>
      <c r="E26" s="12">
        <f>D26*Plan!$B$29</f>
        <v/>
      </c>
      <c r="F26" s="12">
        <f>IF(AND(Plan!$B$25="cash",Plan!$B$26&lt;&gt;"annual"),Plan!$B$38/12*((1-Plan!$B$40)*SUMIFS($C$5:$C$64,$A$5:$A$64,"&gt;="&amp;(A26-11),$A$5:$A$64,"&lt;="&amp;A26)+Plan!$B$40*SUMIFS($C$5:$C$64,$A$5:$A$64,"&gt;="&amp;(A26-Plan!$B$39+1),$A$5:$A$64,"&lt;="&amp;A26)),Plan!$B$38*C26)</f>
        <v/>
      </c>
      <c r="G26" s="12">
        <f>IF(Plan!$B$39&gt;0,IF(AND(Plan!$B$25="cash",Plan!$B$26&lt;&gt;"annual"),Plan!$B$38*SUMIFS($C$5:$C$64,$A$5:$A$64,A26-Plan!$B$39)/12*Plan!$B$40*Plan!$B$39,Plan!$B$38*SUMIFS($C$5:$C$64,$A$5:$A$64,A26-Plan!$B$39)*Plan!$B$40),0)</f>
        <v/>
      </c>
      <c r="H26" s="12">
        <f>(Plan!$B$5/12+F26-G26)*(1+Plan!$B$30)</f>
        <v/>
      </c>
      <c r="I26" s="12">
        <f>E26-H26</f>
        <v/>
      </c>
      <c r="J26" s="12">
        <f>J25+I26</f>
        <v/>
      </c>
      <c r="K26">
        <f>IF(J26&gt;=0,A26,1E9)</f>
        <v/>
      </c>
    </row>
    <row r="27">
      <c r="A27" t="n">
        <v>23</v>
      </c>
      <c r="B27" s="17" t="n">
        <v>1</v>
      </c>
      <c r="C27" s="12">
        <f>Plan!$B$7/12*B27*Plan!$B$8</f>
        <v/>
      </c>
      <c r="D27" s="12">
        <f>IF(Plan!$B$26="annual",(1-Plan!$B$40)*SUMPRODUCT(($A$5:$A$64&lt;=A27)*(MOD(A27-$A$5:$A$64,12)=0)*$C$5:$C$64)+Plan!$B$40*C27,((1-Plan!$B$40)*SUMIFS($C$5:$C$64,$A$5:$A$64,"&lt;="&amp;A27)+Plan!$B$40*SUMIFS($C$5:$C$64,$A$5:$A$64,"&gt;="&amp;(A27-Plan!$B$39+1),$A$5:$A$64,"&lt;="&amp;A27))/12)</f>
        <v/>
      </c>
      <c r="E27" s="12">
        <f>D27*Plan!$B$29</f>
        <v/>
      </c>
      <c r="F27" s="12">
        <f>IF(AND(Plan!$B$25="cash",Plan!$B$26&lt;&gt;"annual"),Plan!$B$38/12*((1-Plan!$B$40)*SUMIFS($C$5:$C$64,$A$5:$A$64,"&gt;="&amp;(A27-11),$A$5:$A$64,"&lt;="&amp;A27)+Plan!$B$40*SUMIFS($C$5:$C$64,$A$5:$A$64,"&gt;="&amp;(A27-Plan!$B$39+1),$A$5:$A$64,"&lt;="&amp;A27)),Plan!$B$38*C27)</f>
        <v/>
      </c>
      <c r="G27" s="12">
        <f>IF(Plan!$B$39&gt;0,IF(AND(Plan!$B$25="cash",Plan!$B$26&lt;&gt;"annual"),Plan!$B$38*SUMIFS($C$5:$C$64,$A$5:$A$64,A27-Plan!$B$39)/12*Plan!$B$40*Plan!$B$39,Plan!$B$38*SUMIFS($C$5:$C$64,$A$5:$A$64,A27-Plan!$B$39)*Plan!$B$40),0)</f>
        <v/>
      </c>
      <c r="H27" s="12">
        <f>(Plan!$B$5/12+F27-G27)*(1+Plan!$B$30)</f>
        <v/>
      </c>
      <c r="I27" s="12">
        <f>E27-H27</f>
        <v/>
      </c>
      <c r="J27" s="12">
        <f>J26+I27</f>
        <v/>
      </c>
      <c r="K27">
        <f>IF(J27&gt;=0,A27,1E9)</f>
        <v/>
      </c>
    </row>
    <row r="28">
      <c r="A28" t="n">
        <v>24</v>
      </c>
      <c r="B28" s="17" t="n">
        <v>1</v>
      </c>
      <c r="C28" s="12">
        <f>Plan!$B$7/12*B28*Plan!$B$8</f>
        <v/>
      </c>
      <c r="D28" s="12">
        <f>IF(Plan!$B$26="annual",(1-Plan!$B$40)*SUMPRODUCT(($A$5:$A$64&lt;=A28)*(MOD(A28-$A$5:$A$64,12)=0)*$C$5:$C$64)+Plan!$B$40*C28,((1-Plan!$B$40)*SUMIFS($C$5:$C$64,$A$5:$A$64,"&lt;="&amp;A28)+Plan!$B$40*SUMIFS($C$5:$C$64,$A$5:$A$64,"&gt;="&amp;(A28-Plan!$B$39+1),$A$5:$A$64,"&lt;="&amp;A28))/12)</f>
        <v/>
      </c>
      <c r="E28" s="12">
        <f>D28*Plan!$B$29</f>
        <v/>
      </c>
      <c r="F28" s="12">
        <f>IF(AND(Plan!$B$25="cash",Plan!$B$26&lt;&gt;"annual"),Plan!$B$38/12*((1-Plan!$B$40)*SUMIFS($C$5:$C$64,$A$5:$A$64,"&gt;="&amp;(A28-11),$A$5:$A$64,"&lt;="&amp;A28)+Plan!$B$40*SUMIFS($C$5:$C$64,$A$5:$A$64,"&gt;="&amp;(A28-Plan!$B$39+1),$A$5:$A$64,"&lt;="&amp;A28)),Plan!$B$38*C28)</f>
        <v/>
      </c>
      <c r="G28" s="12">
        <f>IF(Plan!$B$39&gt;0,IF(AND(Plan!$B$25="cash",Plan!$B$26&lt;&gt;"annual"),Plan!$B$38*SUMIFS($C$5:$C$64,$A$5:$A$64,A28-Plan!$B$39)/12*Plan!$B$40*Plan!$B$39,Plan!$B$38*SUMIFS($C$5:$C$64,$A$5:$A$64,A28-Plan!$B$39)*Plan!$B$40),0)</f>
        <v/>
      </c>
      <c r="H28" s="12">
        <f>(Plan!$B$5/12+F28-G28)*(1+Plan!$B$30)</f>
        <v/>
      </c>
      <c r="I28" s="12">
        <f>E28-H28</f>
        <v/>
      </c>
      <c r="J28" s="12">
        <f>J27+I28</f>
        <v/>
      </c>
      <c r="K28">
        <f>IF(J28&gt;=0,A28,1E9)</f>
        <v/>
      </c>
    </row>
    <row r="29">
      <c r="A29" t="n">
        <v>25</v>
      </c>
      <c r="B29" s="17" t="n">
        <v>1</v>
      </c>
      <c r="C29" s="12">
        <f>Plan!$B$7/12*B29*Plan!$B$8</f>
        <v/>
      </c>
      <c r="D29" s="12">
        <f>IF(Plan!$B$26="annual",(1-Plan!$B$40)*SUMPRODUCT(($A$5:$A$64&lt;=A29)*(MOD(A29-$A$5:$A$64,12)=0)*$C$5:$C$64)+Plan!$B$40*C29,((1-Plan!$B$40)*SUMIFS($C$5:$C$64,$A$5:$A$64,"&lt;="&amp;A29)+Plan!$B$40*SUMIFS($C$5:$C$64,$A$5:$A$64,"&gt;="&amp;(A29-Plan!$B$39+1),$A$5:$A$64,"&lt;="&amp;A29))/12)</f>
        <v/>
      </c>
      <c r="E29" s="12">
        <f>D29*Plan!$B$29</f>
        <v/>
      </c>
      <c r="F29" s="12">
        <f>IF(AND(Plan!$B$25="cash",Plan!$B$26&lt;&gt;"annual"),Plan!$B$38/12*((1-Plan!$B$40)*SUMIFS($C$5:$C$64,$A$5:$A$64,"&gt;="&amp;(A29-11),$A$5:$A$64,"&lt;="&amp;A29)+Plan!$B$40*SUMIFS($C$5:$C$64,$A$5:$A$64,"&gt;="&amp;(A29-Plan!$B$39+1),$A$5:$A$64,"&lt;="&amp;A29)),Plan!$B$38*C29)</f>
        <v/>
      </c>
      <c r="G29" s="12">
        <f>IF(Plan!$B$39&gt;0,IF(AND(Plan!$B$25="cash",Plan!$B$26&lt;&gt;"annual"),Plan!$B$38*SUMIFS($C$5:$C$64,$A$5:$A$64,A29-Plan!$B$39)/12*Plan!$B$40*Plan!$B$39,Plan!$B$38*SUMIFS($C$5:$C$64,$A$5:$A$64,A29-Plan!$B$39)*Plan!$B$40),0)</f>
        <v/>
      </c>
      <c r="H29" s="12">
        <f>(Plan!$B$5/12+F29-G29)*(1+Plan!$B$30)</f>
        <v/>
      </c>
      <c r="I29" s="12">
        <f>E29-H29</f>
        <v/>
      </c>
      <c r="J29" s="12">
        <f>J28+I29</f>
        <v/>
      </c>
      <c r="K29">
        <f>IF(J29&gt;=0,A29,1E9)</f>
        <v/>
      </c>
    </row>
    <row r="30">
      <c r="A30" t="n">
        <v>26</v>
      </c>
      <c r="B30" s="17" t="n">
        <v>1</v>
      </c>
      <c r="C30" s="12">
        <f>Plan!$B$7/12*B30*Plan!$B$8</f>
        <v/>
      </c>
      <c r="D30" s="12">
        <f>IF(Plan!$B$26="annual",(1-Plan!$B$40)*SUMPRODUCT(($A$5:$A$64&lt;=A30)*(MOD(A30-$A$5:$A$64,12)=0)*$C$5:$C$64)+Plan!$B$40*C30,((1-Plan!$B$40)*SUMIFS($C$5:$C$64,$A$5:$A$64,"&lt;="&amp;A30)+Plan!$B$40*SUMIFS($C$5:$C$64,$A$5:$A$64,"&gt;="&amp;(A30-Plan!$B$39+1),$A$5:$A$64,"&lt;="&amp;A30))/12)</f>
        <v/>
      </c>
      <c r="E30" s="12">
        <f>D30*Plan!$B$29</f>
        <v/>
      </c>
      <c r="F30" s="12">
        <f>IF(AND(Plan!$B$25="cash",Plan!$B$26&lt;&gt;"annual"),Plan!$B$38/12*((1-Plan!$B$40)*SUMIFS($C$5:$C$64,$A$5:$A$64,"&gt;="&amp;(A30-11),$A$5:$A$64,"&lt;="&amp;A30)+Plan!$B$40*SUMIFS($C$5:$C$64,$A$5:$A$64,"&gt;="&amp;(A30-Plan!$B$39+1),$A$5:$A$64,"&lt;="&amp;A30)),Plan!$B$38*C30)</f>
        <v/>
      </c>
      <c r="G30" s="12">
        <f>IF(Plan!$B$39&gt;0,IF(AND(Plan!$B$25="cash",Plan!$B$26&lt;&gt;"annual"),Plan!$B$38*SUMIFS($C$5:$C$64,$A$5:$A$64,A30-Plan!$B$39)/12*Plan!$B$40*Plan!$B$39,Plan!$B$38*SUMIFS($C$5:$C$64,$A$5:$A$64,A30-Plan!$B$39)*Plan!$B$40),0)</f>
        <v/>
      </c>
      <c r="H30" s="12">
        <f>(Plan!$B$5/12+F30-G30)*(1+Plan!$B$30)</f>
        <v/>
      </c>
      <c r="I30" s="12">
        <f>E30-H30</f>
        <v/>
      </c>
      <c r="J30" s="12">
        <f>J29+I30</f>
        <v/>
      </c>
      <c r="K30">
        <f>IF(J30&gt;=0,A30,1E9)</f>
        <v/>
      </c>
    </row>
    <row r="31">
      <c r="A31" t="n">
        <v>27</v>
      </c>
      <c r="B31" s="17" t="n">
        <v>1</v>
      </c>
      <c r="C31" s="12">
        <f>Plan!$B$7/12*B31*Plan!$B$8</f>
        <v/>
      </c>
      <c r="D31" s="12">
        <f>IF(Plan!$B$26="annual",(1-Plan!$B$40)*SUMPRODUCT(($A$5:$A$64&lt;=A31)*(MOD(A31-$A$5:$A$64,12)=0)*$C$5:$C$64)+Plan!$B$40*C31,((1-Plan!$B$40)*SUMIFS($C$5:$C$64,$A$5:$A$64,"&lt;="&amp;A31)+Plan!$B$40*SUMIFS($C$5:$C$64,$A$5:$A$64,"&gt;="&amp;(A31-Plan!$B$39+1),$A$5:$A$64,"&lt;="&amp;A31))/12)</f>
        <v/>
      </c>
      <c r="E31" s="12">
        <f>D31*Plan!$B$29</f>
        <v/>
      </c>
      <c r="F31" s="12">
        <f>IF(AND(Plan!$B$25="cash",Plan!$B$26&lt;&gt;"annual"),Plan!$B$38/12*((1-Plan!$B$40)*SUMIFS($C$5:$C$64,$A$5:$A$64,"&gt;="&amp;(A31-11),$A$5:$A$64,"&lt;="&amp;A31)+Plan!$B$40*SUMIFS($C$5:$C$64,$A$5:$A$64,"&gt;="&amp;(A31-Plan!$B$39+1),$A$5:$A$64,"&lt;="&amp;A31)),Plan!$B$38*C31)</f>
        <v/>
      </c>
      <c r="G31" s="12">
        <f>IF(Plan!$B$39&gt;0,IF(AND(Plan!$B$25="cash",Plan!$B$26&lt;&gt;"annual"),Plan!$B$38*SUMIFS($C$5:$C$64,$A$5:$A$64,A31-Plan!$B$39)/12*Plan!$B$40*Plan!$B$39,Plan!$B$38*SUMIFS($C$5:$C$64,$A$5:$A$64,A31-Plan!$B$39)*Plan!$B$40),0)</f>
        <v/>
      </c>
      <c r="H31" s="12">
        <f>(Plan!$B$5/12+F31-G31)*(1+Plan!$B$30)</f>
        <v/>
      </c>
      <c r="I31" s="12">
        <f>E31-H31</f>
        <v/>
      </c>
      <c r="J31" s="12">
        <f>J30+I31</f>
        <v/>
      </c>
      <c r="K31">
        <f>IF(J31&gt;=0,A31,1E9)</f>
        <v/>
      </c>
    </row>
    <row r="32">
      <c r="A32" t="n">
        <v>28</v>
      </c>
      <c r="B32" s="17" t="n">
        <v>1</v>
      </c>
      <c r="C32" s="12">
        <f>Plan!$B$7/12*B32*Plan!$B$8</f>
        <v/>
      </c>
      <c r="D32" s="12">
        <f>IF(Plan!$B$26="annual",(1-Plan!$B$40)*SUMPRODUCT(($A$5:$A$64&lt;=A32)*(MOD(A32-$A$5:$A$64,12)=0)*$C$5:$C$64)+Plan!$B$40*C32,((1-Plan!$B$40)*SUMIFS($C$5:$C$64,$A$5:$A$64,"&lt;="&amp;A32)+Plan!$B$40*SUMIFS($C$5:$C$64,$A$5:$A$64,"&gt;="&amp;(A32-Plan!$B$39+1),$A$5:$A$64,"&lt;="&amp;A32))/12)</f>
        <v/>
      </c>
      <c r="E32" s="12">
        <f>D32*Plan!$B$29</f>
        <v/>
      </c>
      <c r="F32" s="12">
        <f>IF(AND(Plan!$B$25="cash",Plan!$B$26&lt;&gt;"annual"),Plan!$B$38/12*((1-Plan!$B$40)*SUMIFS($C$5:$C$64,$A$5:$A$64,"&gt;="&amp;(A32-11),$A$5:$A$64,"&lt;="&amp;A32)+Plan!$B$40*SUMIFS($C$5:$C$64,$A$5:$A$64,"&gt;="&amp;(A32-Plan!$B$39+1),$A$5:$A$64,"&lt;="&amp;A32)),Plan!$B$38*C32)</f>
        <v/>
      </c>
      <c r="G32" s="12">
        <f>IF(Plan!$B$39&gt;0,IF(AND(Plan!$B$25="cash",Plan!$B$26&lt;&gt;"annual"),Plan!$B$38*SUMIFS($C$5:$C$64,$A$5:$A$64,A32-Plan!$B$39)/12*Plan!$B$40*Plan!$B$39,Plan!$B$38*SUMIFS($C$5:$C$64,$A$5:$A$64,A32-Plan!$B$39)*Plan!$B$40),0)</f>
        <v/>
      </c>
      <c r="H32" s="12">
        <f>(Plan!$B$5/12+F32-G32)*(1+Plan!$B$30)</f>
        <v/>
      </c>
      <c r="I32" s="12">
        <f>E32-H32</f>
        <v/>
      </c>
      <c r="J32" s="12">
        <f>J31+I32</f>
        <v/>
      </c>
      <c r="K32">
        <f>IF(J32&gt;=0,A32,1E9)</f>
        <v/>
      </c>
    </row>
    <row r="33">
      <c r="A33" t="n">
        <v>29</v>
      </c>
      <c r="B33" s="17" t="n">
        <v>1</v>
      </c>
      <c r="C33" s="12">
        <f>Plan!$B$7/12*B33*Plan!$B$8</f>
        <v/>
      </c>
      <c r="D33" s="12">
        <f>IF(Plan!$B$26="annual",(1-Plan!$B$40)*SUMPRODUCT(($A$5:$A$64&lt;=A33)*(MOD(A33-$A$5:$A$64,12)=0)*$C$5:$C$64)+Plan!$B$40*C33,((1-Plan!$B$40)*SUMIFS($C$5:$C$64,$A$5:$A$64,"&lt;="&amp;A33)+Plan!$B$40*SUMIFS($C$5:$C$64,$A$5:$A$64,"&gt;="&amp;(A33-Plan!$B$39+1),$A$5:$A$64,"&lt;="&amp;A33))/12)</f>
        <v/>
      </c>
      <c r="E33" s="12">
        <f>D33*Plan!$B$29</f>
        <v/>
      </c>
      <c r="F33" s="12">
        <f>IF(AND(Plan!$B$25="cash",Plan!$B$26&lt;&gt;"annual"),Plan!$B$38/12*((1-Plan!$B$40)*SUMIFS($C$5:$C$64,$A$5:$A$64,"&gt;="&amp;(A33-11),$A$5:$A$64,"&lt;="&amp;A33)+Plan!$B$40*SUMIFS($C$5:$C$64,$A$5:$A$64,"&gt;="&amp;(A33-Plan!$B$39+1),$A$5:$A$64,"&lt;="&amp;A33)),Plan!$B$38*C33)</f>
        <v/>
      </c>
      <c r="G33" s="12">
        <f>IF(Plan!$B$39&gt;0,IF(AND(Plan!$B$25="cash",Plan!$B$26&lt;&gt;"annual"),Plan!$B$38*SUMIFS($C$5:$C$64,$A$5:$A$64,A33-Plan!$B$39)/12*Plan!$B$40*Plan!$B$39,Plan!$B$38*SUMIFS($C$5:$C$64,$A$5:$A$64,A33-Plan!$B$39)*Plan!$B$40),0)</f>
        <v/>
      </c>
      <c r="H33" s="12">
        <f>(Plan!$B$5/12+F33-G33)*(1+Plan!$B$30)</f>
        <v/>
      </c>
      <c r="I33" s="12">
        <f>E33-H33</f>
        <v/>
      </c>
      <c r="J33" s="12">
        <f>J32+I33</f>
        <v/>
      </c>
      <c r="K33">
        <f>IF(J33&gt;=0,A33,1E9)</f>
        <v/>
      </c>
    </row>
    <row r="34">
      <c r="A34" t="n">
        <v>30</v>
      </c>
      <c r="B34" s="17" t="n">
        <v>1</v>
      </c>
      <c r="C34" s="12">
        <f>Plan!$B$7/12*B34*Plan!$B$8</f>
        <v/>
      </c>
      <c r="D34" s="12">
        <f>IF(Plan!$B$26="annual",(1-Plan!$B$40)*SUMPRODUCT(($A$5:$A$64&lt;=A34)*(MOD(A34-$A$5:$A$64,12)=0)*$C$5:$C$64)+Plan!$B$40*C34,((1-Plan!$B$40)*SUMIFS($C$5:$C$64,$A$5:$A$64,"&lt;="&amp;A34)+Plan!$B$40*SUMIFS($C$5:$C$64,$A$5:$A$64,"&gt;="&amp;(A34-Plan!$B$39+1),$A$5:$A$64,"&lt;="&amp;A34))/12)</f>
        <v/>
      </c>
      <c r="E34" s="12">
        <f>D34*Plan!$B$29</f>
        <v/>
      </c>
      <c r="F34" s="12">
        <f>IF(AND(Plan!$B$25="cash",Plan!$B$26&lt;&gt;"annual"),Plan!$B$38/12*((1-Plan!$B$40)*SUMIFS($C$5:$C$64,$A$5:$A$64,"&gt;="&amp;(A34-11),$A$5:$A$64,"&lt;="&amp;A34)+Plan!$B$40*SUMIFS($C$5:$C$64,$A$5:$A$64,"&gt;="&amp;(A34-Plan!$B$39+1),$A$5:$A$64,"&lt;="&amp;A34)),Plan!$B$38*C34)</f>
        <v/>
      </c>
      <c r="G34" s="12">
        <f>IF(Plan!$B$39&gt;0,IF(AND(Plan!$B$25="cash",Plan!$B$26&lt;&gt;"annual"),Plan!$B$38*SUMIFS($C$5:$C$64,$A$5:$A$64,A34-Plan!$B$39)/12*Plan!$B$40*Plan!$B$39,Plan!$B$38*SUMIFS($C$5:$C$64,$A$5:$A$64,A34-Plan!$B$39)*Plan!$B$40),0)</f>
        <v/>
      </c>
      <c r="H34" s="12">
        <f>(Plan!$B$5/12+F34-G34)*(1+Plan!$B$30)</f>
        <v/>
      </c>
      <c r="I34" s="12">
        <f>E34-H34</f>
        <v/>
      </c>
      <c r="J34" s="12">
        <f>J33+I34</f>
        <v/>
      </c>
      <c r="K34">
        <f>IF(J34&gt;=0,A34,1E9)</f>
        <v/>
      </c>
    </row>
    <row r="35">
      <c r="A35" t="n">
        <v>31</v>
      </c>
      <c r="B35" s="17" t="n">
        <v>1</v>
      </c>
      <c r="C35" s="12">
        <f>Plan!$B$7/12*B35*Plan!$B$8</f>
        <v/>
      </c>
      <c r="D35" s="12">
        <f>IF(Plan!$B$26="annual",(1-Plan!$B$40)*SUMPRODUCT(($A$5:$A$64&lt;=A35)*(MOD(A35-$A$5:$A$64,12)=0)*$C$5:$C$64)+Plan!$B$40*C35,((1-Plan!$B$40)*SUMIFS($C$5:$C$64,$A$5:$A$64,"&lt;="&amp;A35)+Plan!$B$40*SUMIFS($C$5:$C$64,$A$5:$A$64,"&gt;="&amp;(A35-Plan!$B$39+1),$A$5:$A$64,"&lt;="&amp;A35))/12)</f>
        <v/>
      </c>
      <c r="E35" s="12">
        <f>D35*Plan!$B$29</f>
        <v/>
      </c>
      <c r="F35" s="12">
        <f>IF(AND(Plan!$B$25="cash",Plan!$B$26&lt;&gt;"annual"),Plan!$B$38/12*((1-Plan!$B$40)*SUMIFS($C$5:$C$64,$A$5:$A$64,"&gt;="&amp;(A35-11),$A$5:$A$64,"&lt;="&amp;A35)+Plan!$B$40*SUMIFS($C$5:$C$64,$A$5:$A$64,"&gt;="&amp;(A35-Plan!$B$39+1),$A$5:$A$64,"&lt;="&amp;A35)),Plan!$B$38*C35)</f>
        <v/>
      </c>
      <c r="G35" s="12">
        <f>IF(Plan!$B$39&gt;0,IF(AND(Plan!$B$25="cash",Plan!$B$26&lt;&gt;"annual"),Plan!$B$38*SUMIFS($C$5:$C$64,$A$5:$A$64,A35-Plan!$B$39)/12*Plan!$B$40*Plan!$B$39,Plan!$B$38*SUMIFS($C$5:$C$64,$A$5:$A$64,A35-Plan!$B$39)*Plan!$B$40),0)</f>
        <v/>
      </c>
      <c r="H35" s="12">
        <f>(Plan!$B$5/12+F35-G35)*(1+Plan!$B$30)</f>
        <v/>
      </c>
      <c r="I35" s="12">
        <f>E35-H35</f>
        <v/>
      </c>
      <c r="J35" s="12">
        <f>J34+I35</f>
        <v/>
      </c>
      <c r="K35">
        <f>IF(J35&gt;=0,A35,1E9)</f>
        <v/>
      </c>
    </row>
    <row r="36">
      <c r="A36" t="n">
        <v>32</v>
      </c>
      <c r="B36" s="17" t="n">
        <v>1</v>
      </c>
      <c r="C36" s="12">
        <f>Plan!$B$7/12*B36*Plan!$B$8</f>
        <v/>
      </c>
      <c r="D36" s="12">
        <f>IF(Plan!$B$26="annual",(1-Plan!$B$40)*SUMPRODUCT(($A$5:$A$64&lt;=A36)*(MOD(A36-$A$5:$A$64,12)=0)*$C$5:$C$64)+Plan!$B$40*C36,((1-Plan!$B$40)*SUMIFS($C$5:$C$64,$A$5:$A$64,"&lt;="&amp;A36)+Plan!$B$40*SUMIFS($C$5:$C$64,$A$5:$A$64,"&gt;="&amp;(A36-Plan!$B$39+1),$A$5:$A$64,"&lt;="&amp;A36))/12)</f>
        <v/>
      </c>
      <c r="E36" s="12">
        <f>D36*Plan!$B$29</f>
        <v/>
      </c>
      <c r="F36" s="12">
        <f>IF(AND(Plan!$B$25="cash",Plan!$B$26&lt;&gt;"annual"),Plan!$B$38/12*((1-Plan!$B$40)*SUMIFS($C$5:$C$64,$A$5:$A$64,"&gt;="&amp;(A36-11),$A$5:$A$64,"&lt;="&amp;A36)+Plan!$B$40*SUMIFS($C$5:$C$64,$A$5:$A$64,"&gt;="&amp;(A36-Plan!$B$39+1),$A$5:$A$64,"&lt;="&amp;A36)),Plan!$B$38*C36)</f>
        <v/>
      </c>
      <c r="G36" s="12">
        <f>IF(Plan!$B$39&gt;0,IF(AND(Plan!$B$25="cash",Plan!$B$26&lt;&gt;"annual"),Plan!$B$38*SUMIFS($C$5:$C$64,$A$5:$A$64,A36-Plan!$B$39)/12*Plan!$B$40*Plan!$B$39,Plan!$B$38*SUMIFS($C$5:$C$64,$A$5:$A$64,A36-Plan!$B$39)*Plan!$B$40),0)</f>
        <v/>
      </c>
      <c r="H36" s="12">
        <f>(Plan!$B$5/12+F36-G36)*(1+Plan!$B$30)</f>
        <v/>
      </c>
      <c r="I36" s="12">
        <f>E36-H36</f>
        <v/>
      </c>
      <c r="J36" s="12">
        <f>J35+I36</f>
        <v/>
      </c>
      <c r="K36">
        <f>IF(J36&gt;=0,A36,1E9)</f>
        <v/>
      </c>
    </row>
    <row r="37">
      <c r="A37" t="n">
        <v>33</v>
      </c>
      <c r="B37" s="17" t="n">
        <v>1</v>
      </c>
      <c r="C37" s="12">
        <f>Plan!$B$7/12*B37*Plan!$B$8</f>
        <v/>
      </c>
      <c r="D37" s="12">
        <f>IF(Plan!$B$26="annual",(1-Plan!$B$40)*SUMPRODUCT(($A$5:$A$64&lt;=A37)*(MOD(A37-$A$5:$A$64,12)=0)*$C$5:$C$64)+Plan!$B$40*C37,((1-Plan!$B$40)*SUMIFS($C$5:$C$64,$A$5:$A$64,"&lt;="&amp;A37)+Plan!$B$40*SUMIFS($C$5:$C$64,$A$5:$A$64,"&gt;="&amp;(A37-Plan!$B$39+1),$A$5:$A$64,"&lt;="&amp;A37))/12)</f>
        <v/>
      </c>
      <c r="E37" s="12">
        <f>D37*Plan!$B$29</f>
        <v/>
      </c>
      <c r="F37" s="12">
        <f>IF(AND(Plan!$B$25="cash",Plan!$B$26&lt;&gt;"annual"),Plan!$B$38/12*((1-Plan!$B$40)*SUMIFS($C$5:$C$64,$A$5:$A$64,"&gt;="&amp;(A37-11),$A$5:$A$64,"&lt;="&amp;A37)+Plan!$B$40*SUMIFS($C$5:$C$64,$A$5:$A$64,"&gt;="&amp;(A37-Plan!$B$39+1),$A$5:$A$64,"&lt;="&amp;A37)),Plan!$B$38*C37)</f>
        <v/>
      </c>
      <c r="G37" s="12">
        <f>IF(Plan!$B$39&gt;0,IF(AND(Plan!$B$25="cash",Plan!$B$26&lt;&gt;"annual"),Plan!$B$38*SUMIFS($C$5:$C$64,$A$5:$A$64,A37-Plan!$B$39)/12*Plan!$B$40*Plan!$B$39,Plan!$B$38*SUMIFS($C$5:$C$64,$A$5:$A$64,A37-Plan!$B$39)*Plan!$B$40),0)</f>
        <v/>
      </c>
      <c r="H37" s="12">
        <f>(Plan!$B$5/12+F37-G37)*(1+Plan!$B$30)</f>
        <v/>
      </c>
      <c r="I37" s="12">
        <f>E37-H37</f>
        <v/>
      </c>
      <c r="J37" s="12">
        <f>J36+I37</f>
        <v/>
      </c>
      <c r="K37">
        <f>IF(J37&gt;=0,A37,1E9)</f>
        <v/>
      </c>
    </row>
    <row r="38">
      <c r="A38" t="n">
        <v>34</v>
      </c>
      <c r="B38" s="17" t="n">
        <v>1</v>
      </c>
      <c r="C38" s="12">
        <f>Plan!$B$7/12*B38*Plan!$B$8</f>
        <v/>
      </c>
      <c r="D38" s="12">
        <f>IF(Plan!$B$26="annual",(1-Plan!$B$40)*SUMPRODUCT(($A$5:$A$64&lt;=A38)*(MOD(A38-$A$5:$A$64,12)=0)*$C$5:$C$64)+Plan!$B$40*C38,((1-Plan!$B$40)*SUMIFS($C$5:$C$64,$A$5:$A$64,"&lt;="&amp;A38)+Plan!$B$40*SUMIFS($C$5:$C$64,$A$5:$A$64,"&gt;="&amp;(A38-Plan!$B$39+1),$A$5:$A$64,"&lt;="&amp;A38))/12)</f>
        <v/>
      </c>
      <c r="E38" s="12">
        <f>D38*Plan!$B$29</f>
        <v/>
      </c>
      <c r="F38" s="12">
        <f>IF(AND(Plan!$B$25="cash",Plan!$B$26&lt;&gt;"annual"),Plan!$B$38/12*((1-Plan!$B$40)*SUMIFS($C$5:$C$64,$A$5:$A$64,"&gt;="&amp;(A38-11),$A$5:$A$64,"&lt;="&amp;A38)+Plan!$B$40*SUMIFS($C$5:$C$64,$A$5:$A$64,"&gt;="&amp;(A38-Plan!$B$39+1),$A$5:$A$64,"&lt;="&amp;A38)),Plan!$B$38*C38)</f>
        <v/>
      </c>
      <c r="G38" s="12">
        <f>IF(Plan!$B$39&gt;0,IF(AND(Plan!$B$25="cash",Plan!$B$26&lt;&gt;"annual"),Plan!$B$38*SUMIFS($C$5:$C$64,$A$5:$A$64,A38-Plan!$B$39)/12*Plan!$B$40*Plan!$B$39,Plan!$B$38*SUMIFS($C$5:$C$64,$A$5:$A$64,A38-Plan!$B$39)*Plan!$B$40),0)</f>
        <v/>
      </c>
      <c r="H38" s="12">
        <f>(Plan!$B$5/12+F38-G38)*(1+Plan!$B$30)</f>
        <v/>
      </c>
      <c r="I38" s="12">
        <f>E38-H38</f>
        <v/>
      </c>
      <c r="J38" s="12">
        <f>J37+I38</f>
        <v/>
      </c>
      <c r="K38">
        <f>IF(J38&gt;=0,A38,1E9)</f>
        <v/>
      </c>
    </row>
    <row r="39">
      <c r="A39" t="n">
        <v>35</v>
      </c>
      <c r="B39" s="17" t="n">
        <v>1</v>
      </c>
      <c r="C39" s="12">
        <f>Plan!$B$7/12*B39*Plan!$B$8</f>
        <v/>
      </c>
      <c r="D39" s="12">
        <f>IF(Plan!$B$26="annual",(1-Plan!$B$40)*SUMPRODUCT(($A$5:$A$64&lt;=A39)*(MOD(A39-$A$5:$A$64,12)=0)*$C$5:$C$64)+Plan!$B$40*C39,((1-Plan!$B$40)*SUMIFS($C$5:$C$64,$A$5:$A$64,"&lt;="&amp;A39)+Plan!$B$40*SUMIFS($C$5:$C$64,$A$5:$A$64,"&gt;="&amp;(A39-Plan!$B$39+1),$A$5:$A$64,"&lt;="&amp;A39))/12)</f>
        <v/>
      </c>
      <c r="E39" s="12">
        <f>D39*Plan!$B$29</f>
        <v/>
      </c>
      <c r="F39" s="12">
        <f>IF(AND(Plan!$B$25="cash",Plan!$B$26&lt;&gt;"annual"),Plan!$B$38/12*((1-Plan!$B$40)*SUMIFS($C$5:$C$64,$A$5:$A$64,"&gt;="&amp;(A39-11),$A$5:$A$64,"&lt;="&amp;A39)+Plan!$B$40*SUMIFS($C$5:$C$64,$A$5:$A$64,"&gt;="&amp;(A39-Plan!$B$39+1),$A$5:$A$64,"&lt;="&amp;A39)),Plan!$B$38*C39)</f>
        <v/>
      </c>
      <c r="G39" s="12">
        <f>IF(Plan!$B$39&gt;0,IF(AND(Plan!$B$25="cash",Plan!$B$26&lt;&gt;"annual"),Plan!$B$38*SUMIFS($C$5:$C$64,$A$5:$A$64,A39-Plan!$B$39)/12*Plan!$B$40*Plan!$B$39,Plan!$B$38*SUMIFS($C$5:$C$64,$A$5:$A$64,A39-Plan!$B$39)*Plan!$B$40),0)</f>
        <v/>
      </c>
      <c r="H39" s="12">
        <f>(Plan!$B$5/12+F39-G39)*(1+Plan!$B$30)</f>
        <v/>
      </c>
      <c r="I39" s="12">
        <f>E39-H39</f>
        <v/>
      </c>
      <c r="J39" s="12">
        <f>J38+I39</f>
        <v/>
      </c>
      <c r="K39">
        <f>IF(J39&gt;=0,A39,1E9)</f>
        <v/>
      </c>
    </row>
    <row r="40">
      <c r="A40" t="n">
        <v>36</v>
      </c>
      <c r="B40" s="17" t="n">
        <v>1</v>
      </c>
      <c r="C40" s="12">
        <f>Plan!$B$7/12*B40*Plan!$B$8</f>
        <v/>
      </c>
      <c r="D40" s="12">
        <f>IF(Plan!$B$26="annual",(1-Plan!$B$40)*SUMPRODUCT(($A$5:$A$64&lt;=A40)*(MOD(A40-$A$5:$A$64,12)=0)*$C$5:$C$64)+Plan!$B$40*C40,((1-Plan!$B$40)*SUMIFS($C$5:$C$64,$A$5:$A$64,"&lt;="&amp;A40)+Plan!$B$40*SUMIFS($C$5:$C$64,$A$5:$A$64,"&gt;="&amp;(A40-Plan!$B$39+1),$A$5:$A$64,"&lt;="&amp;A40))/12)</f>
        <v/>
      </c>
      <c r="E40" s="12">
        <f>D40*Plan!$B$29</f>
        <v/>
      </c>
      <c r="F40" s="12">
        <f>IF(AND(Plan!$B$25="cash",Plan!$B$26&lt;&gt;"annual"),Plan!$B$38/12*((1-Plan!$B$40)*SUMIFS($C$5:$C$64,$A$5:$A$64,"&gt;="&amp;(A40-11),$A$5:$A$64,"&lt;="&amp;A40)+Plan!$B$40*SUMIFS($C$5:$C$64,$A$5:$A$64,"&gt;="&amp;(A40-Plan!$B$39+1),$A$5:$A$64,"&lt;="&amp;A40)),Plan!$B$38*C40)</f>
        <v/>
      </c>
      <c r="G40" s="12">
        <f>IF(Plan!$B$39&gt;0,IF(AND(Plan!$B$25="cash",Plan!$B$26&lt;&gt;"annual"),Plan!$B$38*SUMIFS($C$5:$C$64,$A$5:$A$64,A40-Plan!$B$39)/12*Plan!$B$40*Plan!$B$39,Plan!$B$38*SUMIFS($C$5:$C$64,$A$5:$A$64,A40-Plan!$B$39)*Plan!$B$40),0)</f>
        <v/>
      </c>
      <c r="H40" s="12">
        <f>(Plan!$B$5/12+F40-G40)*(1+Plan!$B$30)</f>
        <v/>
      </c>
      <c r="I40" s="12">
        <f>E40-H40</f>
        <v/>
      </c>
      <c r="J40" s="12">
        <f>J39+I40</f>
        <v/>
      </c>
      <c r="K40">
        <f>IF(J40&gt;=0,A40,1E9)</f>
        <v/>
      </c>
    </row>
    <row r="41">
      <c r="A41" t="n">
        <v>37</v>
      </c>
      <c r="B41" s="17" t="n">
        <v>1</v>
      </c>
      <c r="C41" s="12">
        <f>Plan!$B$7/12*B41*Plan!$B$8</f>
        <v/>
      </c>
      <c r="D41" s="12">
        <f>IF(Plan!$B$26="annual",(1-Plan!$B$40)*SUMPRODUCT(($A$5:$A$64&lt;=A41)*(MOD(A41-$A$5:$A$64,12)=0)*$C$5:$C$64)+Plan!$B$40*C41,((1-Plan!$B$40)*SUMIFS($C$5:$C$64,$A$5:$A$64,"&lt;="&amp;A41)+Plan!$B$40*SUMIFS($C$5:$C$64,$A$5:$A$64,"&gt;="&amp;(A41-Plan!$B$39+1),$A$5:$A$64,"&lt;="&amp;A41))/12)</f>
        <v/>
      </c>
      <c r="E41" s="12">
        <f>D41*Plan!$B$29</f>
        <v/>
      </c>
      <c r="F41" s="12">
        <f>IF(AND(Plan!$B$25="cash",Plan!$B$26&lt;&gt;"annual"),Plan!$B$38/12*((1-Plan!$B$40)*SUMIFS($C$5:$C$64,$A$5:$A$64,"&gt;="&amp;(A41-11),$A$5:$A$64,"&lt;="&amp;A41)+Plan!$B$40*SUMIFS($C$5:$C$64,$A$5:$A$64,"&gt;="&amp;(A41-Plan!$B$39+1),$A$5:$A$64,"&lt;="&amp;A41)),Plan!$B$38*C41)</f>
        <v/>
      </c>
      <c r="G41" s="12">
        <f>IF(Plan!$B$39&gt;0,IF(AND(Plan!$B$25="cash",Plan!$B$26&lt;&gt;"annual"),Plan!$B$38*SUMIFS($C$5:$C$64,$A$5:$A$64,A41-Plan!$B$39)/12*Plan!$B$40*Plan!$B$39,Plan!$B$38*SUMIFS($C$5:$C$64,$A$5:$A$64,A41-Plan!$B$39)*Plan!$B$40),0)</f>
        <v/>
      </c>
      <c r="H41" s="12">
        <f>(Plan!$B$5/12+F41-G41)*(1+Plan!$B$30)</f>
        <v/>
      </c>
      <c r="I41" s="12">
        <f>E41-H41</f>
        <v/>
      </c>
      <c r="J41" s="12">
        <f>J40+I41</f>
        <v/>
      </c>
      <c r="K41">
        <f>IF(J41&gt;=0,A41,1E9)</f>
        <v/>
      </c>
    </row>
    <row r="42">
      <c r="A42" t="n">
        <v>38</v>
      </c>
      <c r="B42" s="17" t="n">
        <v>1</v>
      </c>
      <c r="C42" s="12">
        <f>Plan!$B$7/12*B42*Plan!$B$8</f>
        <v/>
      </c>
      <c r="D42" s="12">
        <f>IF(Plan!$B$26="annual",(1-Plan!$B$40)*SUMPRODUCT(($A$5:$A$64&lt;=A42)*(MOD(A42-$A$5:$A$64,12)=0)*$C$5:$C$64)+Plan!$B$40*C42,((1-Plan!$B$40)*SUMIFS($C$5:$C$64,$A$5:$A$64,"&lt;="&amp;A42)+Plan!$B$40*SUMIFS($C$5:$C$64,$A$5:$A$64,"&gt;="&amp;(A42-Plan!$B$39+1),$A$5:$A$64,"&lt;="&amp;A42))/12)</f>
        <v/>
      </c>
      <c r="E42" s="12">
        <f>D42*Plan!$B$29</f>
        <v/>
      </c>
      <c r="F42" s="12">
        <f>IF(AND(Plan!$B$25="cash",Plan!$B$26&lt;&gt;"annual"),Plan!$B$38/12*((1-Plan!$B$40)*SUMIFS($C$5:$C$64,$A$5:$A$64,"&gt;="&amp;(A42-11),$A$5:$A$64,"&lt;="&amp;A42)+Plan!$B$40*SUMIFS($C$5:$C$64,$A$5:$A$64,"&gt;="&amp;(A42-Plan!$B$39+1),$A$5:$A$64,"&lt;="&amp;A42)),Plan!$B$38*C42)</f>
        <v/>
      </c>
      <c r="G42" s="12">
        <f>IF(Plan!$B$39&gt;0,IF(AND(Plan!$B$25="cash",Plan!$B$26&lt;&gt;"annual"),Plan!$B$38*SUMIFS($C$5:$C$64,$A$5:$A$64,A42-Plan!$B$39)/12*Plan!$B$40*Plan!$B$39,Plan!$B$38*SUMIFS($C$5:$C$64,$A$5:$A$64,A42-Plan!$B$39)*Plan!$B$40),0)</f>
        <v/>
      </c>
      <c r="H42" s="12">
        <f>(Plan!$B$5/12+F42-G42)*(1+Plan!$B$30)</f>
        <v/>
      </c>
      <c r="I42" s="12">
        <f>E42-H42</f>
        <v/>
      </c>
      <c r="J42" s="12">
        <f>J41+I42</f>
        <v/>
      </c>
      <c r="K42">
        <f>IF(J42&gt;=0,A42,1E9)</f>
        <v/>
      </c>
    </row>
    <row r="43">
      <c r="A43" t="n">
        <v>39</v>
      </c>
      <c r="B43" s="17" t="n">
        <v>1</v>
      </c>
      <c r="C43" s="12">
        <f>Plan!$B$7/12*B43*Plan!$B$8</f>
        <v/>
      </c>
      <c r="D43" s="12">
        <f>IF(Plan!$B$26="annual",(1-Plan!$B$40)*SUMPRODUCT(($A$5:$A$64&lt;=A43)*(MOD(A43-$A$5:$A$64,12)=0)*$C$5:$C$64)+Plan!$B$40*C43,((1-Plan!$B$40)*SUMIFS($C$5:$C$64,$A$5:$A$64,"&lt;="&amp;A43)+Plan!$B$40*SUMIFS($C$5:$C$64,$A$5:$A$64,"&gt;="&amp;(A43-Plan!$B$39+1),$A$5:$A$64,"&lt;="&amp;A43))/12)</f>
        <v/>
      </c>
      <c r="E43" s="12">
        <f>D43*Plan!$B$29</f>
        <v/>
      </c>
      <c r="F43" s="12">
        <f>IF(AND(Plan!$B$25="cash",Plan!$B$26&lt;&gt;"annual"),Plan!$B$38/12*((1-Plan!$B$40)*SUMIFS($C$5:$C$64,$A$5:$A$64,"&gt;="&amp;(A43-11),$A$5:$A$64,"&lt;="&amp;A43)+Plan!$B$40*SUMIFS($C$5:$C$64,$A$5:$A$64,"&gt;="&amp;(A43-Plan!$B$39+1),$A$5:$A$64,"&lt;="&amp;A43)),Plan!$B$38*C43)</f>
        <v/>
      </c>
      <c r="G43" s="12">
        <f>IF(Plan!$B$39&gt;0,IF(AND(Plan!$B$25="cash",Plan!$B$26&lt;&gt;"annual"),Plan!$B$38*SUMIFS($C$5:$C$64,$A$5:$A$64,A43-Plan!$B$39)/12*Plan!$B$40*Plan!$B$39,Plan!$B$38*SUMIFS($C$5:$C$64,$A$5:$A$64,A43-Plan!$B$39)*Plan!$B$40),0)</f>
        <v/>
      </c>
      <c r="H43" s="12">
        <f>(Plan!$B$5/12+F43-G43)*(1+Plan!$B$30)</f>
        <v/>
      </c>
      <c r="I43" s="12">
        <f>E43-H43</f>
        <v/>
      </c>
      <c r="J43" s="12">
        <f>J42+I43</f>
        <v/>
      </c>
      <c r="K43">
        <f>IF(J43&gt;=0,A43,1E9)</f>
        <v/>
      </c>
    </row>
    <row r="44">
      <c r="A44" t="n">
        <v>40</v>
      </c>
      <c r="B44" s="17" t="n">
        <v>1</v>
      </c>
      <c r="C44" s="12">
        <f>Plan!$B$7/12*B44*Plan!$B$8</f>
        <v/>
      </c>
      <c r="D44" s="12">
        <f>IF(Plan!$B$26="annual",(1-Plan!$B$40)*SUMPRODUCT(($A$5:$A$64&lt;=A44)*(MOD(A44-$A$5:$A$64,12)=0)*$C$5:$C$64)+Plan!$B$40*C44,((1-Plan!$B$40)*SUMIFS($C$5:$C$64,$A$5:$A$64,"&lt;="&amp;A44)+Plan!$B$40*SUMIFS($C$5:$C$64,$A$5:$A$64,"&gt;="&amp;(A44-Plan!$B$39+1),$A$5:$A$64,"&lt;="&amp;A44))/12)</f>
        <v/>
      </c>
      <c r="E44" s="12">
        <f>D44*Plan!$B$29</f>
        <v/>
      </c>
      <c r="F44" s="12">
        <f>IF(AND(Plan!$B$25="cash",Plan!$B$26&lt;&gt;"annual"),Plan!$B$38/12*((1-Plan!$B$40)*SUMIFS($C$5:$C$64,$A$5:$A$64,"&gt;="&amp;(A44-11),$A$5:$A$64,"&lt;="&amp;A44)+Plan!$B$40*SUMIFS($C$5:$C$64,$A$5:$A$64,"&gt;="&amp;(A44-Plan!$B$39+1),$A$5:$A$64,"&lt;="&amp;A44)),Plan!$B$38*C44)</f>
        <v/>
      </c>
      <c r="G44" s="12">
        <f>IF(Plan!$B$39&gt;0,IF(AND(Plan!$B$25="cash",Plan!$B$26&lt;&gt;"annual"),Plan!$B$38*SUMIFS($C$5:$C$64,$A$5:$A$64,A44-Plan!$B$39)/12*Plan!$B$40*Plan!$B$39,Plan!$B$38*SUMIFS($C$5:$C$64,$A$5:$A$64,A44-Plan!$B$39)*Plan!$B$40),0)</f>
        <v/>
      </c>
      <c r="H44" s="12">
        <f>(Plan!$B$5/12+F44-G44)*(1+Plan!$B$30)</f>
        <v/>
      </c>
      <c r="I44" s="12">
        <f>E44-H44</f>
        <v/>
      </c>
      <c r="J44" s="12">
        <f>J43+I44</f>
        <v/>
      </c>
      <c r="K44">
        <f>IF(J44&gt;=0,A44,1E9)</f>
        <v/>
      </c>
    </row>
    <row r="45">
      <c r="A45" t="n">
        <v>41</v>
      </c>
      <c r="B45" s="17" t="n">
        <v>1</v>
      </c>
      <c r="C45" s="12">
        <f>Plan!$B$7/12*B45*Plan!$B$8</f>
        <v/>
      </c>
      <c r="D45" s="12">
        <f>IF(Plan!$B$26="annual",(1-Plan!$B$40)*SUMPRODUCT(($A$5:$A$64&lt;=A45)*(MOD(A45-$A$5:$A$64,12)=0)*$C$5:$C$64)+Plan!$B$40*C45,((1-Plan!$B$40)*SUMIFS($C$5:$C$64,$A$5:$A$64,"&lt;="&amp;A45)+Plan!$B$40*SUMIFS($C$5:$C$64,$A$5:$A$64,"&gt;="&amp;(A45-Plan!$B$39+1),$A$5:$A$64,"&lt;="&amp;A45))/12)</f>
        <v/>
      </c>
      <c r="E45" s="12">
        <f>D45*Plan!$B$29</f>
        <v/>
      </c>
      <c r="F45" s="12">
        <f>IF(AND(Plan!$B$25="cash",Plan!$B$26&lt;&gt;"annual"),Plan!$B$38/12*((1-Plan!$B$40)*SUMIFS($C$5:$C$64,$A$5:$A$64,"&gt;="&amp;(A45-11),$A$5:$A$64,"&lt;="&amp;A45)+Plan!$B$40*SUMIFS($C$5:$C$64,$A$5:$A$64,"&gt;="&amp;(A45-Plan!$B$39+1),$A$5:$A$64,"&lt;="&amp;A45)),Plan!$B$38*C45)</f>
        <v/>
      </c>
      <c r="G45" s="12">
        <f>IF(Plan!$B$39&gt;0,IF(AND(Plan!$B$25="cash",Plan!$B$26&lt;&gt;"annual"),Plan!$B$38*SUMIFS($C$5:$C$64,$A$5:$A$64,A45-Plan!$B$39)/12*Plan!$B$40*Plan!$B$39,Plan!$B$38*SUMIFS($C$5:$C$64,$A$5:$A$64,A45-Plan!$B$39)*Plan!$B$40),0)</f>
        <v/>
      </c>
      <c r="H45" s="12">
        <f>(Plan!$B$5/12+F45-G45)*(1+Plan!$B$30)</f>
        <v/>
      </c>
      <c r="I45" s="12">
        <f>E45-H45</f>
        <v/>
      </c>
      <c r="J45" s="12">
        <f>J44+I45</f>
        <v/>
      </c>
      <c r="K45">
        <f>IF(J45&gt;=0,A45,1E9)</f>
        <v/>
      </c>
    </row>
    <row r="46">
      <c r="A46" t="n">
        <v>42</v>
      </c>
      <c r="B46" s="17" t="n">
        <v>1</v>
      </c>
      <c r="C46" s="12">
        <f>Plan!$B$7/12*B46*Plan!$B$8</f>
        <v/>
      </c>
      <c r="D46" s="12">
        <f>IF(Plan!$B$26="annual",(1-Plan!$B$40)*SUMPRODUCT(($A$5:$A$64&lt;=A46)*(MOD(A46-$A$5:$A$64,12)=0)*$C$5:$C$64)+Plan!$B$40*C46,((1-Plan!$B$40)*SUMIFS($C$5:$C$64,$A$5:$A$64,"&lt;="&amp;A46)+Plan!$B$40*SUMIFS($C$5:$C$64,$A$5:$A$64,"&gt;="&amp;(A46-Plan!$B$39+1),$A$5:$A$64,"&lt;="&amp;A46))/12)</f>
        <v/>
      </c>
      <c r="E46" s="12">
        <f>D46*Plan!$B$29</f>
        <v/>
      </c>
      <c r="F46" s="12">
        <f>IF(AND(Plan!$B$25="cash",Plan!$B$26&lt;&gt;"annual"),Plan!$B$38/12*((1-Plan!$B$40)*SUMIFS($C$5:$C$64,$A$5:$A$64,"&gt;="&amp;(A46-11),$A$5:$A$64,"&lt;="&amp;A46)+Plan!$B$40*SUMIFS($C$5:$C$64,$A$5:$A$64,"&gt;="&amp;(A46-Plan!$B$39+1),$A$5:$A$64,"&lt;="&amp;A46)),Plan!$B$38*C46)</f>
        <v/>
      </c>
      <c r="G46" s="12">
        <f>IF(Plan!$B$39&gt;0,IF(AND(Plan!$B$25="cash",Plan!$B$26&lt;&gt;"annual"),Plan!$B$38*SUMIFS($C$5:$C$64,$A$5:$A$64,A46-Plan!$B$39)/12*Plan!$B$40*Plan!$B$39,Plan!$B$38*SUMIFS($C$5:$C$64,$A$5:$A$64,A46-Plan!$B$39)*Plan!$B$40),0)</f>
        <v/>
      </c>
      <c r="H46" s="12">
        <f>(Plan!$B$5/12+F46-G46)*(1+Plan!$B$30)</f>
        <v/>
      </c>
      <c r="I46" s="12">
        <f>E46-H46</f>
        <v/>
      </c>
      <c r="J46" s="12">
        <f>J45+I46</f>
        <v/>
      </c>
      <c r="K46">
        <f>IF(J46&gt;=0,A46,1E9)</f>
        <v/>
      </c>
    </row>
    <row r="47">
      <c r="A47" t="n">
        <v>43</v>
      </c>
      <c r="B47" s="17" t="n">
        <v>1</v>
      </c>
      <c r="C47" s="12">
        <f>Plan!$B$7/12*B47*Plan!$B$8</f>
        <v/>
      </c>
      <c r="D47" s="12">
        <f>IF(Plan!$B$26="annual",(1-Plan!$B$40)*SUMPRODUCT(($A$5:$A$64&lt;=A47)*(MOD(A47-$A$5:$A$64,12)=0)*$C$5:$C$64)+Plan!$B$40*C47,((1-Plan!$B$40)*SUMIFS($C$5:$C$64,$A$5:$A$64,"&lt;="&amp;A47)+Plan!$B$40*SUMIFS($C$5:$C$64,$A$5:$A$64,"&gt;="&amp;(A47-Plan!$B$39+1),$A$5:$A$64,"&lt;="&amp;A47))/12)</f>
        <v/>
      </c>
      <c r="E47" s="12">
        <f>D47*Plan!$B$29</f>
        <v/>
      </c>
      <c r="F47" s="12">
        <f>IF(AND(Plan!$B$25="cash",Plan!$B$26&lt;&gt;"annual"),Plan!$B$38/12*((1-Plan!$B$40)*SUMIFS($C$5:$C$64,$A$5:$A$64,"&gt;="&amp;(A47-11),$A$5:$A$64,"&lt;="&amp;A47)+Plan!$B$40*SUMIFS($C$5:$C$64,$A$5:$A$64,"&gt;="&amp;(A47-Plan!$B$39+1),$A$5:$A$64,"&lt;="&amp;A47)),Plan!$B$38*C47)</f>
        <v/>
      </c>
      <c r="G47" s="12">
        <f>IF(Plan!$B$39&gt;0,IF(AND(Plan!$B$25="cash",Plan!$B$26&lt;&gt;"annual"),Plan!$B$38*SUMIFS($C$5:$C$64,$A$5:$A$64,A47-Plan!$B$39)/12*Plan!$B$40*Plan!$B$39,Plan!$B$38*SUMIFS($C$5:$C$64,$A$5:$A$64,A47-Plan!$B$39)*Plan!$B$40),0)</f>
        <v/>
      </c>
      <c r="H47" s="12">
        <f>(Plan!$B$5/12+F47-G47)*(1+Plan!$B$30)</f>
        <v/>
      </c>
      <c r="I47" s="12">
        <f>E47-H47</f>
        <v/>
      </c>
      <c r="J47" s="12">
        <f>J46+I47</f>
        <v/>
      </c>
      <c r="K47">
        <f>IF(J47&gt;=0,A47,1E9)</f>
        <v/>
      </c>
    </row>
    <row r="48">
      <c r="A48" t="n">
        <v>44</v>
      </c>
      <c r="B48" s="17" t="n">
        <v>1</v>
      </c>
      <c r="C48" s="12">
        <f>Plan!$B$7/12*B48*Plan!$B$8</f>
        <v/>
      </c>
      <c r="D48" s="12">
        <f>IF(Plan!$B$26="annual",(1-Plan!$B$40)*SUMPRODUCT(($A$5:$A$64&lt;=A48)*(MOD(A48-$A$5:$A$64,12)=0)*$C$5:$C$64)+Plan!$B$40*C48,((1-Plan!$B$40)*SUMIFS($C$5:$C$64,$A$5:$A$64,"&lt;="&amp;A48)+Plan!$B$40*SUMIFS($C$5:$C$64,$A$5:$A$64,"&gt;="&amp;(A48-Plan!$B$39+1),$A$5:$A$64,"&lt;="&amp;A48))/12)</f>
        <v/>
      </c>
      <c r="E48" s="12">
        <f>D48*Plan!$B$29</f>
        <v/>
      </c>
      <c r="F48" s="12">
        <f>IF(AND(Plan!$B$25="cash",Plan!$B$26&lt;&gt;"annual"),Plan!$B$38/12*((1-Plan!$B$40)*SUMIFS($C$5:$C$64,$A$5:$A$64,"&gt;="&amp;(A48-11),$A$5:$A$64,"&lt;="&amp;A48)+Plan!$B$40*SUMIFS($C$5:$C$64,$A$5:$A$64,"&gt;="&amp;(A48-Plan!$B$39+1),$A$5:$A$64,"&lt;="&amp;A48)),Plan!$B$38*C48)</f>
        <v/>
      </c>
      <c r="G48" s="12">
        <f>IF(Plan!$B$39&gt;0,IF(AND(Plan!$B$25="cash",Plan!$B$26&lt;&gt;"annual"),Plan!$B$38*SUMIFS($C$5:$C$64,$A$5:$A$64,A48-Plan!$B$39)/12*Plan!$B$40*Plan!$B$39,Plan!$B$38*SUMIFS($C$5:$C$64,$A$5:$A$64,A48-Plan!$B$39)*Plan!$B$40),0)</f>
        <v/>
      </c>
      <c r="H48" s="12">
        <f>(Plan!$B$5/12+F48-G48)*(1+Plan!$B$30)</f>
        <v/>
      </c>
      <c r="I48" s="12">
        <f>E48-H48</f>
        <v/>
      </c>
      <c r="J48" s="12">
        <f>J47+I48</f>
        <v/>
      </c>
      <c r="K48">
        <f>IF(J48&gt;=0,A48,1E9)</f>
        <v/>
      </c>
    </row>
    <row r="49">
      <c r="A49" t="n">
        <v>45</v>
      </c>
      <c r="B49" s="17" t="n">
        <v>1</v>
      </c>
      <c r="C49" s="12">
        <f>Plan!$B$7/12*B49*Plan!$B$8</f>
        <v/>
      </c>
      <c r="D49" s="12">
        <f>IF(Plan!$B$26="annual",(1-Plan!$B$40)*SUMPRODUCT(($A$5:$A$64&lt;=A49)*(MOD(A49-$A$5:$A$64,12)=0)*$C$5:$C$64)+Plan!$B$40*C49,((1-Plan!$B$40)*SUMIFS($C$5:$C$64,$A$5:$A$64,"&lt;="&amp;A49)+Plan!$B$40*SUMIFS($C$5:$C$64,$A$5:$A$64,"&gt;="&amp;(A49-Plan!$B$39+1),$A$5:$A$64,"&lt;="&amp;A49))/12)</f>
        <v/>
      </c>
      <c r="E49" s="12">
        <f>D49*Plan!$B$29</f>
        <v/>
      </c>
      <c r="F49" s="12">
        <f>IF(AND(Plan!$B$25="cash",Plan!$B$26&lt;&gt;"annual"),Plan!$B$38/12*((1-Plan!$B$40)*SUMIFS($C$5:$C$64,$A$5:$A$64,"&gt;="&amp;(A49-11),$A$5:$A$64,"&lt;="&amp;A49)+Plan!$B$40*SUMIFS($C$5:$C$64,$A$5:$A$64,"&gt;="&amp;(A49-Plan!$B$39+1),$A$5:$A$64,"&lt;="&amp;A49)),Plan!$B$38*C49)</f>
        <v/>
      </c>
      <c r="G49" s="12">
        <f>IF(Plan!$B$39&gt;0,IF(AND(Plan!$B$25="cash",Plan!$B$26&lt;&gt;"annual"),Plan!$B$38*SUMIFS($C$5:$C$64,$A$5:$A$64,A49-Plan!$B$39)/12*Plan!$B$40*Plan!$B$39,Plan!$B$38*SUMIFS($C$5:$C$64,$A$5:$A$64,A49-Plan!$B$39)*Plan!$B$40),0)</f>
        <v/>
      </c>
      <c r="H49" s="12">
        <f>(Plan!$B$5/12+F49-G49)*(1+Plan!$B$30)</f>
        <v/>
      </c>
      <c r="I49" s="12">
        <f>E49-H49</f>
        <v/>
      </c>
      <c r="J49" s="12">
        <f>J48+I49</f>
        <v/>
      </c>
      <c r="K49">
        <f>IF(J49&gt;=0,A49,1E9)</f>
        <v/>
      </c>
    </row>
    <row r="50">
      <c r="A50" t="n">
        <v>46</v>
      </c>
      <c r="B50" s="17" t="n">
        <v>1</v>
      </c>
      <c r="C50" s="12">
        <f>Plan!$B$7/12*B50*Plan!$B$8</f>
        <v/>
      </c>
      <c r="D50" s="12">
        <f>IF(Plan!$B$26="annual",(1-Plan!$B$40)*SUMPRODUCT(($A$5:$A$64&lt;=A50)*(MOD(A50-$A$5:$A$64,12)=0)*$C$5:$C$64)+Plan!$B$40*C50,((1-Plan!$B$40)*SUMIFS($C$5:$C$64,$A$5:$A$64,"&lt;="&amp;A50)+Plan!$B$40*SUMIFS($C$5:$C$64,$A$5:$A$64,"&gt;="&amp;(A50-Plan!$B$39+1),$A$5:$A$64,"&lt;="&amp;A50))/12)</f>
        <v/>
      </c>
      <c r="E50" s="12">
        <f>D50*Plan!$B$29</f>
        <v/>
      </c>
      <c r="F50" s="12">
        <f>IF(AND(Plan!$B$25="cash",Plan!$B$26&lt;&gt;"annual"),Plan!$B$38/12*((1-Plan!$B$40)*SUMIFS($C$5:$C$64,$A$5:$A$64,"&gt;="&amp;(A50-11),$A$5:$A$64,"&lt;="&amp;A50)+Plan!$B$40*SUMIFS($C$5:$C$64,$A$5:$A$64,"&gt;="&amp;(A50-Plan!$B$39+1),$A$5:$A$64,"&lt;="&amp;A50)),Plan!$B$38*C50)</f>
        <v/>
      </c>
      <c r="G50" s="12">
        <f>IF(Plan!$B$39&gt;0,IF(AND(Plan!$B$25="cash",Plan!$B$26&lt;&gt;"annual"),Plan!$B$38*SUMIFS($C$5:$C$64,$A$5:$A$64,A50-Plan!$B$39)/12*Plan!$B$40*Plan!$B$39,Plan!$B$38*SUMIFS($C$5:$C$64,$A$5:$A$64,A50-Plan!$B$39)*Plan!$B$40),0)</f>
        <v/>
      </c>
      <c r="H50" s="12">
        <f>(Plan!$B$5/12+F50-G50)*(1+Plan!$B$30)</f>
        <v/>
      </c>
      <c r="I50" s="12">
        <f>E50-H50</f>
        <v/>
      </c>
      <c r="J50" s="12">
        <f>J49+I50</f>
        <v/>
      </c>
      <c r="K50">
        <f>IF(J50&gt;=0,A50,1E9)</f>
        <v/>
      </c>
    </row>
    <row r="51">
      <c r="A51" t="n">
        <v>47</v>
      </c>
      <c r="B51" s="17" t="n">
        <v>1</v>
      </c>
      <c r="C51" s="12">
        <f>Plan!$B$7/12*B51*Plan!$B$8</f>
        <v/>
      </c>
      <c r="D51" s="12">
        <f>IF(Plan!$B$26="annual",(1-Plan!$B$40)*SUMPRODUCT(($A$5:$A$64&lt;=A51)*(MOD(A51-$A$5:$A$64,12)=0)*$C$5:$C$64)+Plan!$B$40*C51,((1-Plan!$B$40)*SUMIFS($C$5:$C$64,$A$5:$A$64,"&lt;="&amp;A51)+Plan!$B$40*SUMIFS($C$5:$C$64,$A$5:$A$64,"&gt;="&amp;(A51-Plan!$B$39+1),$A$5:$A$64,"&lt;="&amp;A51))/12)</f>
        <v/>
      </c>
      <c r="E51" s="12">
        <f>D51*Plan!$B$29</f>
        <v/>
      </c>
      <c r="F51" s="12">
        <f>IF(AND(Plan!$B$25="cash",Plan!$B$26&lt;&gt;"annual"),Plan!$B$38/12*((1-Plan!$B$40)*SUMIFS($C$5:$C$64,$A$5:$A$64,"&gt;="&amp;(A51-11),$A$5:$A$64,"&lt;="&amp;A51)+Plan!$B$40*SUMIFS($C$5:$C$64,$A$5:$A$64,"&gt;="&amp;(A51-Plan!$B$39+1),$A$5:$A$64,"&lt;="&amp;A51)),Plan!$B$38*C51)</f>
        <v/>
      </c>
      <c r="G51" s="12">
        <f>IF(Plan!$B$39&gt;0,IF(AND(Plan!$B$25="cash",Plan!$B$26&lt;&gt;"annual"),Plan!$B$38*SUMIFS($C$5:$C$64,$A$5:$A$64,A51-Plan!$B$39)/12*Plan!$B$40*Plan!$B$39,Plan!$B$38*SUMIFS($C$5:$C$64,$A$5:$A$64,A51-Plan!$B$39)*Plan!$B$40),0)</f>
        <v/>
      </c>
      <c r="H51" s="12">
        <f>(Plan!$B$5/12+F51-G51)*(1+Plan!$B$30)</f>
        <v/>
      </c>
      <c r="I51" s="12">
        <f>E51-H51</f>
        <v/>
      </c>
      <c r="J51" s="12">
        <f>J50+I51</f>
        <v/>
      </c>
      <c r="K51">
        <f>IF(J51&gt;=0,A51,1E9)</f>
        <v/>
      </c>
    </row>
    <row r="52">
      <c r="A52" t="n">
        <v>48</v>
      </c>
      <c r="B52" s="17" t="n">
        <v>1</v>
      </c>
      <c r="C52" s="12">
        <f>Plan!$B$7/12*B52*Plan!$B$8</f>
        <v/>
      </c>
      <c r="D52" s="12">
        <f>IF(Plan!$B$26="annual",(1-Plan!$B$40)*SUMPRODUCT(($A$5:$A$64&lt;=A52)*(MOD(A52-$A$5:$A$64,12)=0)*$C$5:$C$64)+Plan!$B$40*C52,((1-Plan!$B$40)*SUMIFS($C$5:$C$64,$A$5:$A$64,"&lt;="&amp;A52)+Plan!$B$40*SUMIFS($C$5:$C$64,$A$5:$A$64,"&gt;="&amp;(A52-Plan!$B$39+1),$A$5:$A$64,"&lt;="&amp;A52))/12)</f>
        <v/>
      </c>
      <c r="E52" s="12">
        <f>D52*Plan!$B$29</f>
        <v/>
      </c>
      <c r="F52" s="12">
        <f>IF(AND(Plan!$B$25="cash",Plan!$B$26&lt;&gt;"annual"),Plan!$B$38/12*((1-Plan!$B$40)*SUMIFS($C$5:$C$64,$A$5:$A$64,"&gt;="&amp;(A52-11),$A$5:$A$64,"&lt;="&amp;A52)+Plan!$B$40*SUMIFS($C$5:$C$64,$A$5:$A$64,"&gt;="&amp;(A52-Plan!$B$39+1),$A$5:$A$64,"&lt;="&amp;A52)),Plan!$B$38*C52)</f>
        <v/>
      </c>
      <c r="G52" s="12">
        <f>IF(Plan!$B$39&gt;0,IF(AND(Plan!$B$25="cash",Plan!$B$26&lt;&gt;"annual"),Plan!$B$38*SUMIFS($C$5:$C$64,$A$5:$A$64,A52-Plan!$B$39)/12*Plan!$B$40*Plan!$B$39,Plan!$B$38*SUMIFS($C$5:$C$64,$A$5:$A$64,A52-Plan!$B$39)*Plan!$B$40),0)</f>
        <v/>
      </c>
      <c r="H52" s="12">
        <f>(Plan!$B$5/12+F52-G52)*(1+Plan!$B$30)</f>
        <v/>
      </c>
      <c r="I52" s="12">
        <f>E52-H52</f>
        <v/>
      </c>
      <c r="J52" s="12">
        <f>J51+I52</f>
        <v/>
      </c>
      <c r="K52">
        <f>IF(J52&gt;=0,A52,1E9)</f>
        <v/>
      </c>
    </row>
    <row r="53">
      <c r="A53" t="n">
        <v>49</v>
      </c>
      <c r="B53" s="17" t="n">
        <v>1</v>
      </c>
      <c r="C53" s="12">
        <f>Plan!$B$7/12*B53*Plan!$B$8</f>
        <v/>
      </c>
      <c r="D53" s="12">
        <f>IF(Plan!$B$26="annual",(1-Plan!$B$40)*SUMPRODUCT(($A$5:$A$64&lt;=A53)*(MOD(A53-$A$5:$A$64,12)=0)*$C$5:$C$64)+Plan!$B$40*C53,((1-Plan!$B$40)*SUMIFS($C$5:$C$64,$A$5:$A$64,"&lt;="&amp;A53)+Plan!$B$40*SUMIFS($C$5:$C$64,$A$5:$A$64,"&gt;="&amp;(A53-Plan!$B$39+1),$A$5:$A$64,"&lt;="&amp;A53))/12)</f>
        <v/>
      </c>
      <c r="E53" s="12">
        <f>D53*Plan!$B$29</f>
        <v/>
      </c>
      <c r="F53" s="12">
        <f>IF(AND(Plan!$B$25="cash",Plan!$B$26&lt;&gt;"annual"),Plan!$B$38/12*((1-Plan!$B$40)*SUMIFS($C$5:$C$64,$A$5:$A$64,"&gt;="&amp;(A53-11),$A$5:$A$64,"&lt;="&amp;A53)+Plan!$B$40*SUMIFS($C$5:$C$64,$A$5:$A$64,"&gt;="&amp;(A53-Plan!$B$39+1),$A$5:$A$64,"&lt;="&amp;A53)),Plan!$B$38*C53)</f>
        <v/>
      </c>
      <c r="G53" s="12">
        <f>IF(Plan!$B$39&gt;0,IF(AND(Plan!$B$25="cash",Plan!$B$26&lt;&gt;"annual"),Plan!$B$38*SUMIFS($C$5:$C$64,$A$5:$A$64,A53-Plan!$B$39)/12*Plan!$B$40*Plan!$B$39,Plan!$B$38*SUMIFS($C$5:$C$64,$A$5:$A$64,A53-Plan!$B$39)*Plan!$B$40),0)</f>
        <v/>
      </c>
      <c r="H53" s="12">
        <f>(Plan!$B$5/12+F53-G53)*(1+Plan!$B$30)</f>
        <v/>
      </c>
      <c r="I53" s="12">
        <f>E53-H53</f>
        <v/>
      </c>
      <c r="J53" s="12">
        <f>J52+I53</f>
        <v/>
      </c>
      <c r="K53">
        <f>IF(J53&gt;=0,A53,1E9)</f>
        <v/>
      </c>
    </row>
    <row r="54">
      <c r="A54" t="n">
        <v>50</v>
      </c>
      <c r="B54" s="17" t="n">
        <v>1</v>
      </c>
      <c r="C54" s="12">
        <f>Plan!$B$7/12*B54*Plan!$B$8</f>
        <v/>
      </c>
      <c r="D54" s="12">
        <f>IF(Plan!$B$26="annual",(1-Plan!$B$40)*SUMPRODUCT(($A$5:$A$64&lt;=A54)*(MOD(A54-$A$5:$A$64,12)=0)*$C$5:$C$64)+Plan!$B$40*C54,((1-Plan!$B$40)*SUMIFS($C$5:$C$64,$A$5:$A$64,"&lt;="&amp;A54)+Plan!$B$40*SUMIFS($C$5:$C$64,$A$5:$A$64,"&gt;="&amp;(A54-Plan!$B$39+1),$A$5:$A$64,"&lt;="&amp;A54))/12)</f>
        <v/>
      </c>
      <c r="E54" s="12">
        <f>D54*Plan!$B$29</f>
        <v/>
      </c>
      <c r="F54" s="12">
        <f>IF(AND(Plan!$B$25="cash",Plan!$B$26&lt;&gt;"annual"),Plan!$B$38/12*((1-Plan!$B$40)*SUMIFS($C$5:$C$64,$A$5:$A$64,"&gt;="&amp;(A54-11),$A$5:$A$64,"&lt;="&amp;A54)+Plan!$B$40*SUMIFS($C$5:$C$64,$A$5:$A$64,"&gt;="&amp;(A54-Plan!$B$39+1),$A$5:$A$64,"&lt;="&amp;A54)),Plan!$B$38*C54)</f>
        <v/>
      </c>
      <c r="G54" s="12">
        <f>IF(Plan!$B$39&gt;0,IF(AND(Plan!$B$25="cash",Plan!$B$26&lt;&gt;"annual"),Plan!$B$38*SUMIFS($C$5:$C$64,$A$5:$A$64,A54-Plan!$B$39)/12*Plan!$B$40*Plan!$B$39,Plan!$B$38*SUMIFS($C$5:$C$64,$A$5:$A$64,A54-Plan!$B$39)*Plan!$B$40),0)</f>
        <v/>
      </c>
      <c r="H54" s="12">
        <f>(Plan!$B$5/12+F54-G54)*(1+Plan!$B$30)</f>
        <v/>
      </c>
      <c r="I54" s="12">
        <f>E54-H54</f>
        <v/>
      </c>
      <c r="J54" s="12">
        <f>J53+I54</f>
        <v/>
      </c>
      <c r="K54">
        <f>IF(J54&gt;=0,A54,1E9)</f>
        <v/>
      </c>
    </row>
    <row r="55">
      <c r="A55" t="n">
        <v>51</v>
      </c>
      <c r="B55" s="17" t="n">
        <v>1</v>
      </c>
      <c r="C55" s="12">
        <f>Plan!$B$7/12*B55*Plan!$B$8</f>
        <v/>
      </c>
      <c r="D55" s="12">
        <f>IF(Plan!$B$26="annual",(1-Plan!$B$40)*SUMPRODUCT(($A$5:$A$64&lt;=A55)*(MOD(A55-$A$5:$A$64,12)=0)*$C$5:$C$64)+Plan!$B$40*C55,((1-Plan!$B$40)*SUMIFS($C$5:$C$64,$A$5:$A$64,"&lt;="&amp;A55)+Plan!$B$40*SUMIFS($C$5:$C$64,$A$5:$A$64,"&gt;="&amp;(A55-Plan!$B$39+1),$A$5:$A$64,"&lt;="&amp;A55))/12)</f>
        <v/>
      </c>
      <c r="E55" s="12">
        <f>D55*Plan!$B$29</f>
        <v/>
      </c>
      <c r="F55" s="12">
        <f>IF(AND(Plan!$B$25="cash",Plan!$B$26&lt;&gt;"annual"),Plan!$B$38/12*((1-Plan!$B$40)*SUMIFS($C$5:$C$64,$A$5:$A$64,"&gt;="&amp;(A55-11),$A$5:$A$64,"&lt;="&amp;A55)+Plan!$B$40*SUMIFS($C$5:$C$64,$A$5:$A$64,"&gt;="&amp;(A55-Plan!$B$39+1),$A$5:$A$64,"&lt;="&amp;A55)),Plan!$B$38*C55)</f>
        <v/>
      </c>
      <c r="G55" s="12">
        <f>IF(Plan!$B$39&gt;0,IF(AND(Plan!$B$25="cash",Plan!$B$26&lt;&gt;"annual"),Plan!$B$38*SUMIFS($C$5:$C$64,$A$5:$A$64,A55-Plan!$B$39)/12*Plan!$B$40*Plan!$B$39,Plan!$B$38*SUMIFS($C$5:$C$64,$A$5:$A$64,A55-Plan!$B$39)*Plan!$B$40),0)</f>
        <v/>
      </c>
      <c r="H55" s="12">
        <f>(Plan!$B$5/12+F55-G55)*(1+Plan!$B$30)</f>
        <v/>
      </c>
      <c r="I55" s="12">
        <f>E55-H55</f>
        <v/>
      </c>
      <c r="J55" s="12">
        <f>J54+I55</f>
        <v/>
      </c>
      <c r="K55">
        <f>IF(J55&gt;=0,A55,1E9)</f>
        <v/>
      </c>
    </row>
    <row r="56">
      <c r="A56" t="n">
        <v>52</v>
      </c>
      <c r="B56" s="17" t="n">
        <v>1</v>
      </c>
      <c r="C56" s="12">
        <f>Plan!$B$7/12*B56*Plan!$B$8</f>
        <v/>
      </c>
      <c r="D56" s="12">
        <f>IF(Plan!$B$26="annual",(1-Plan!$B$40)*SUMPRODUCT(($A$5:$A$64&lt;=A56)*(MOD(A56-$A$5:$A$64,12)=0)*$C$5:$C$64)+Plan!$B$40*C56,((1-Plan!$B$40)*SUMIFS($C$5:$C$64,$A$5:$A$64,"&lt;="&amp;A56)+Plan!$B$40*SUMIFS($C$5:$C$64,$A$5:$A$64,"&gt;="&amp;(A56-Plan!$B$39+1),$A$5:$A$64,"&lt;="&amp;A56))/12)</f>
        <v/>
      </c>
      <c r="E56" s="12">
        <f>D56*Plan!$B$29</f>
        <v/>
      </c>
      <c r="F56" s="12">
        <f>IF(AND(Plan!$B$25="cash",Plan!$B$26&lt;&gt;"annual"),Plan!$B$38/12*((1-Plan!$B$40)*SUMIFS($C$5:$C$64,$A$5:$A$64,"&gt;="&amp;(A56-11),$A$5:$A$64,"&lt;="&amp;A56)+Plan!$B$40*SUMIFS($C$5:$C$64,$A$5:$A$64,"&gt;="&amp;(A56-Plan!$B$39+1),$A$5:$A$64,"&lt;="&amp;A56)),Plan!$B$38*C56)</f>
        <v/>
      </c>
      <c r="G56" s="12">
        <f>IF(Plan!$B$39&gt;0,IF(AND(Plan!$B$25="cash",Plan!$B$26&lt;&gt;"annual"),Plan!$B$38*SUMIFS($C$5:$C$64,$A$5:$A$64,A56-Plan!$B$39)/12*Plan!$B$40*Plan!$B$39,Plan!$B$38*SUMIFS($C$5:$C$64,$A$5:$A$64,A56-Plan!$B$39)*Plan!$B$40),0)</f>
        <v/>
      </c>
      <c r="H56" s="12">
        <f>(Plan!$B$5/12+F56-G56)*(1+Plan!$B$30)</f>
        <v/>
      </c>
      <c r="I56" s="12">
        <f>E56-H56</f>
        <v/>
      </c>
      <c r="J56" s="12">
        <f>J55+I56</f>
        <v/>
      </c>
      <c r="K56">
        <f>IF(J56&gt;=0,A56,1E9)</f>
        <v/>
      </c>
    </row>
    <row r="57">
      <c r="A57" t="n">
        <v>53</v>
      </c>
      <c r="B57" s="17" t="n">
        <v>1</v>
      </c>
      <c r="C57" s="12">
        <f>Plan!$B$7/12*B57*Plan!$B$8</f>
        <v/>
      </c>
      <c r="D57" s="12">
        <f>IF(Plan!$B$26="annual",(1-Plan!$B$40)*SUMPRODUCT(($A$5:$A$64&lt;=A57)*(MOD(A57-$A$5:$A$64,12)=0)*$C$5:$C$64)+Plan!$B$40*C57,((1-Plan!$B$40)*SUMIFS($C$5:$C$64,$A$5:$A$64,"&lt;="&amp;A57)+Plan!$B$40*SUMIFS($C$5:$C$64,$A$5:$A$64,"&gt;="&amp;(A57-Plan!$B$39+1),$A$5:$A$64,"&lt;="&amp;A57))/12)</f>
        <v/>
      </c>
      <c r="E57" s="12">
        <f>D57*Plan!$B$29</f>
        <v/>
      </c>
      <c r="F57" s="12">
        <f>IF(AND(Plan!$B$25="cash",Plan!$B$26&lt;&gt;"annual"),Plan!$B$38/12*((1-Plan!$B$40)*SUMIFS($C$5:$C$64,$A$5:$A$64,"&gt;="&amp;(A57-11),$A$5:$A$64,"&lt;="&amp;A57)+Plan!$B$40*SUMIFS($C$5:$C$64,$A$5:$A$64,"&gt;="&amp;(A57-Plan!$B$39+1),$A$5:$A$64,"&lt;="&amp;A57)),Plan!$B$38*C57)</f>
        <v/>
      </c>
      <c r="G57" s="12">
        <f>IF(Plan!$B$39&gt;0,IF(AND(Plan!$B$25="cash",Plan!$B$26&lt;&gt;"annual"),Plan!$B$38*SUMIFS($C$5:$C$64,$A$5:$A$64,A57-Plan!$B$39)/12*Plan!$B$40*Plan!$B$39,Plan!$B$38*SUMIFS($C$5:$C$64,$A$5:$A$64,A57-Plan!$B$39)*Plan!$B$40),0)</f>
        <v/>
      </c>
      <c r="H57" s="12">
        <f>(Plan!$B$5/12+F57-G57)*(1+Plan!$B$30)</f>
        <v/>
      </c>
      <c r="I57" s="12">
        <f>E57-H57</f>
        <v/>
      </c>
      <c r="J57" s="12">
        <f>J56+I57</f>
        <v/>
      </c>
      <c r="K57">
        <f>IF(J57&gt;=0,A57,1E9)</f>
        <v/>
      </c>
    </row>
    <row r="58">
      <c r="A58" t="n">
        <v>54</v>
      </c>
      <c r="B58" s="17" t="n">
        <v>1</v>
      </c>
      <c r="C58" s="12">
        <f>Plan!$B$7/12*B58*Plan!$B$8</f>
        <v/>
      </c>
      <c r="D58" s="12">
        <f>IF(Plan!$B$26="annual",(1-Plan!$B$40)*SUMPRODUCT(($A$5:$A$64&lt;=A58)*(MOD(A58-$A$5:$A$64,12)=0)*$C$5:$C$64)+Plan!$B$40*C58,((1-Plan!$B$40)*SUMIFS($C$5:$C$64,$A$5:$A$64,"&lt;="&amp;A58)+Plan!$B$40*SUMIFS($C$5:$C$64,$A$5:$A$64,"&gt;="&amp;(A58-Plan!$B$39+1),$A$5:$A$64,"&lt;="&amp;A58))/12)</f>
        <v/>
      </c>
      <c r="E58" s="12">
        <f>D58*Plan!$B$29</f>
        <v/>
      </c>
      <c r="F58" s="12">
        <f>IF(AND(Plan!$B$25="cash",Plan!$B$26&lt;&gt;"annual"),Plan!$B$38/12*((1-Plan!$B$40)*SUMIFS($C$5:$C$64,$A$5:$A$64,"&gt;="&amp;(A58-11),$A$5:$A$64,"&lt;="&amp;A58)+Plan!$B$40*SUMIFS($C$5:$C$64,$A$5:$A$64,"&gt;="&amp;(A58-Plan!$B$39+1),$A$5:$A$64,"&lt;="&amp;A58)),Plan!$B$38*C58)</f>
        <v/>
      </c>
      <c r="G58" s="12">
        <f>IF(Plan!$B$39&gt;0,IF(AND(Plan!$B$25="cash",Plan!$B$26&lt;&gt;"annual"),Plan!$B$38*SUMIFS($C$5:$C$64,$A$5:$A$64,A58-Plan!$B$39)/12*Plan!$B$40*Plan!$B$39,Plan!$B$38*SUMIFS($C$5:$C$64,$A$5:$A$64,A58-Plan!$B$39)*Plan!$B$40),0)</f>
        <v/>
      </c>
      <c r="H58" s="12">
        <f>(Plan!$B$5/12+F58-G58)*(1+Plan!$B$30)</f>
        <v/>
      </c>
      <c r="I58" s="12">
        <f>E58-H58</f>
        <v/>
      </c>
      <c r="J58" s="12">
        <f>J57+I58</f>
        <v/>
      </c>
      <c r="K58">
        <f>IF(J58&gt;=0,A58,1E9)</f>
        <v/>
      </c>
    </row>
    <row r="59">
      <c r="A59" t="n">
        <v>55</v>
      </c>
      <c r="B59" s="17" t="n">
        <v>1</v>
      </c>
      <c r="C59" s="12">
        <f>Plan!$B$7/12*B59*Plan!$B$8</f>
        <v/>
      </c>
      <c r="D59" s="12">
        <f>IF(Plan!$B$26="annual",(1-Plan!$B$40)*SUMPRODUCT(($A$5:$A$64&lt;=A59)*(MOD(A59-$A$5:$A$64,12)=0)*$C$5:$C$64)+Plan!$B$40*C59,((1-Plan!$B$40)*SUMIFS($C$5:$C$64,$A$5:$A$64,"&lt;="&amp;A59)+Plan!$B$40*SUMIFS($C$5:$C$64,$A$5:$A$64,"&gt;="&amp;(A59-Plan!$B$39+1),$A$5:$A$64,"&lt;="&amp;A59))/12)</f>
        <v/>
      </c>
      <c r="E59" s="12">
        <f>D59*Plan!$B$29</f>
        <v/>
      </c>
      <c r="F59" s="12">
        <f>IF(AND(Plan!$B$25="cash",Plan!$B$26&lt;&gt;"annual"),Plan!$B$38/12*((1-Plan!$B$40)*SUMIFS($C$5:$C$64,$A$5:$A$64,"&gt;="&amp;(A59-11),$A$5:$A$64,"&lt;="&amp;A59)+Plan!$B$40*SUMIFS($C$5:$C$64,$A$5:$A$64,"&gt;="&amp;(A59-Plan!$B$39+1),$A$5:$A$64,"&lt;="&amp;A59)),Plan!$B$38*C59)</f>
        <v/>
      </c>
      <c r="G59" s="12">
        <f>IF(Plan!$B$39&gt;0,IF(AND(Plan!$B$25="cash",Plan!$B$26&lt;&gt;"annual"),Plan!$B$38*SUMIFS($C$5:$C$64,$A$5:$A$64,A59-Plan!$B$39)/12*Plan!$B$40*Plan!$B$39,Plan!$B$38*SUMIFS($C$5:$C$64,$A$5:$A$64,A59-Plan!$B$39)*Plan!$B$40),0)</f>
        <v/>
      </c>
      <c r="H59" s="12">
        <f>(Plan!$B$5/12+F59-G59)*(1+Plan!$B$30)</f>
        <v/>
      </c>
      <c r="I59" s="12">
        <f>E59-H59</f>
        <v/>
      </c>
      <c r="J59" s="12">
        <f>J58+I59</f>
        <v/>
      </c>
      <c r="K59">
        <f>IF(J59&gt;=0,A59,1E9)</f>
        <v/>
      </c>
    </row>
    <row r="60">
      <c r="A60" t="n">
        <v>56</v>
      </c>
      <c r="B60" s="17" t="n">
        <v>1</v>
      </c>
      <c r="C60" s="12">
        <f>Plan!$B$7/12*B60*Plan!$B$8</f>
        <v/>
      </c>
      <c r="D60" s="12">
        <f>IF(Plan!$B$26="annual",(1-Plan!$B$40)*SUMPRODUCT(($A$5:$A$64&lt;=A60)*(MOD(A60-$A$5:$A$64,12)=0)*$C$5:$C$64)+Plan!$B$40*C60,((1-Plan!$B$40)*SUMIFS($C$5:$C$64,$A$5:$A$64,"&lt;="&amp;A60)+Plan!$B$40*SUMIFS($C$5:$C$64,$A$5:$A$64,"&gt;="&amp;(A60-Plan!$B$39+1),$A$5:$A$64,"&lt;="&amp;A60))/12)</f>
        <v/>
      </c>
      <c r="E60" s="12">
        <f>D60*Plan!$B$29</f>
        <v/>
      </c>
      <c r="F60" s="12">
        <f>IF(AND(Plan!$B$25="cash",Plan!$B$26&lt;&gt;"annual"),Plan!$B$38/12*((1-Plan!$B$40)*SUMIFS($C$5:$C$64,$A$5:$A$64,"&gt;="&amp;(A60-11),$A$5:$A$64,"&lt;="&amp;A60)+Plan!$B$40*SUMIFS($C$5:$C$64,$A$5:$A$64,"&gt;="&amp;(A60-Plan!$B$39+1),$A$5:$A$64,"&lt;="&amp;A60)),Plan!$B$38*C60)</f>
        <v/>
      </c>
      <c r="G60" s="12">
        <f>IF(Plan!$B$39&gt;0,IF(AND(Plan!$B$25="cash",Plan!$B$26&lt;&gt;"annual"),Plan!$B$38*SUMIFS($C$5:$C$64,$A$5:$A$64,A60-Plan!$B$39)/12*Plan!$B$40*Plan!$B$39,Plan!$B$38*SUMIFS($C$5:$C$64,$A$5:$A$64,A60-Plan!$B$39)*Plan!$B$40),0)</f>
        <v/>
      </c>
      <c r="H60" s="12">
        <f>(Plan!$B$5/12+F60-G60)*(1+Plan!$B$30)</f>
        <v/>
      </c>
      <c r="I60" s="12">
        <f>E60-H60</f>
        <v/>
      </c>
      <c r="J60" s="12">
        <f>J59+I60</f>
        <v/>
      </c>
      <c r="K60">
        <f>IF(J60&gt;=0,A60,1E9)</f>
        <v/>
      </c>
    </row>
    <row r="61">
      <c r="A61" t="n">
        <v>57</v>
      </c>
      <c r="B61" s="17" t="n">
        <v>1</v>
      </c>
      <c r="C61" s="12">
        <f>Plan!$B$7/12*B61*Plan!$B$8</f>
        <v/>
      </c>
      <c r="D61" s="12">
        <f>IF(Plan!$B$26="annual",(1-Plan!$B$40)*SUMPRODUCT(($A$5:$A$64&lt;=A61)*(MOD(A61-$A$5:$A$64,12)=0)*$C$5:$C$64)+Plan!$B$40*C61,((1-Plan!$B$40)*SUMIFS($C$5:$C$64,$A$5:$A$64,"&lt;="&amp;A61)+Plan!$B$40*SUMIFS($C$5:$C$64,$A$5:$A$64,"&gt;="&amp;(A61-Plan!$B$39+1),$A$5:$A$64,"&lt;="&amp;A61))/12)</f>
        <v/>
      </c>
      <c r="E61" s="12">
        <f>D61*Plan!$B$29</f>
        <v/>
      </c>
      <c r="F61" s="12">
        <f>IF(AND(Plan!$B$25="cash",Plan!$B$26&lt;&gt;"annual"),Plan!$B$38/12*((1-Plan!$B$40)*SUMIFS($C$5:$C$64,$A$5:$A$64,"&gt;="&amp;(A61-11),$A$5:$A$64,"&lt;="&amp;A61)+Plan!$B$40*SUMIFS($C$5:$C$64,$A$5:$A$64,"&gt;="&amp;(A61-Plan!$B$39+1),$A$5:$A$64,"&lt;="&amp;A61)),Plan!$B$38*C61)</f>
        <v/>
      </c>
      <c r="G61" s="12">
        <f>IF(Plan!$B$39&gt;0,IF(AND(Plan!$B$25="cash",Plan!$B$26&lt;&gt;"annual"),Plan!$B$38*SUMIFS($C$5:$C$64,$A$5:$A$64,A61-Plan!$B$39)/12*Plan!$B$40*Plan!$B$39,Plan!$B$38*SUMIFS($C$5:$C$64,$A$5:$A$64,A61-Plan!$B$39)*Plan!$B$40),0)</f>
        <v/>
      </c>
      <c r="H61" s="12">
        <f>(Plan!$B$5/12+F61-G61)*(1+Plan!$B$30)</f>
        <v/>
      </c>
      <c r="I61" s="12">
        <f>E61-H61</f>
        <v/>
      </c>
      <c r="J61" s="12">
        <f>J60+I61</f>
        <v/>
      </c>
      <c r="K61">
        <f>IF(J61&gt;=0,A61,1E9)</f>
        <v/>
      </c>
    </row>
    <row r="62">
      <c r="A62" t="n">
        <v>58</v>
      </c>
      <c r="B62" s="17" t="n">
        <v>1</v>
      </c>
      <c r="C62" s="12">
        <f>Plan!$B$7/12*B62*Plan!$B$8</f>
        <v/>
      </c>
      <c r="D62" s="12">
        <f>IF(Plan!$B$26="annual",(1-Plan!$B$40)*SUMPRODUCT(($A$5:$A$64&lt;=A62)*(MOD(A62-$A$5:$A$64,12)=0)*$C$5:$C$64)+Plan!$B$40*C62,((1-Plan!$B$40)*SUMIFS($C$5:$C$64,$A$5:$A$64,"&lt;="&amp;A62)+Plan!$B$40*SUMIFS($C$5:$C$64,$A$5:$A$64,"&gt;="&amp;(A62-Plan!$B$39+1),$A$5:$A$64,"&lt;="&amp;A62))/12)</f>
        <v/>
      </c>
      <c r="E62" s="12">
        <f>D62*Plan!$B$29</f>
        <v/>
      </c>
      <c r="F62" s="12">
        <f>IF(AND(Plan!$B$25="cash",Plan!$B$26&lt;&gt;"annual"),Plan!$B$38/12*((1-Plan!$B$40)*SUMIFS($C$5:$C$64,$A$5:$A$64,"&gt;="&amp;(A62-11),$A$5:$A$64,"&lt;="&amp;A62)+Plan!$B$40*SUMIFS($C$5:$C$64,$A$5:$A$64,"&gt;="&amp;(A62-Plan!$B$39+1),$A$5:$A$64,"&lt;="&amp;A62)),Plan!$B$38*C62)</f>
        <v/>
      </c>
      <c r="G62" s="12">
        <f>IF(Plan!$B$39&gt;0,IF(AND(Plan!$B$25="cash",Plan!$B$26&lt;&gt;"annual"),Plan!$B$38*SUMIFS($C$5:$C$64,$A$5:$A$64,A62-Plan!$B$39)/12*Plan!$B$40*Plan!$B$39,Plan!$B$38*SUMIFS($C$5:$C$64,$A$5:$A$64,A62-Plan!$B$39)*Plan!$B$40),0)</f>
        <v/>
      </c>
      <c r="H62" s="12">
        <f>(Plan!$B$5/12+F62-G62)*(1+Plan!$B$30)</f>
        <v/>
      </c>
      <c r="I62" s="12">
        <f>E62-H62</f>
        <v/>
      </c>
      <c r="J62" s="12">
        <f>J61+I62</f>
        <v/>
      </c>
      <c r="K62">
        <f>IF(J62&gt;=0,A62,1E9)</f>
        <v/>
      </c>
    </row>
    <row r="63">
      <c r="A63" t="n">
        <v>59</v>
      </c>
      <c r="B63" s="17" t="n">
        <v>1</v>
      </c>
      <c r="C63" s="12">
        <f>Plan!$B$7/12*B63*Plan!$B$8</f>
        <v/>
      </c>
      <c r="D63" s="12">
        <f>IF(Plan!$B$26="annual",(1-Plan!$B$40)*SUMPRODUCT(($A$5:$A$64&lt;=A63)*(MOD(A63-$A$5:$A$64,12)=0)*$C$5:$C$64)+Plan!$B$40*C63,((1-Plan!$B$40)*SUMIFS($C$5:$C$64,$A$5:$A$64,"&lt;="&amp;A63)+Plan!$B$40*SUMIFS($C$5:$C$64,$A$5:$A$64,"&gt;="&amp;(A63-Plan!$B$39+1),$A$5:$A$64,"&lt;="&amp;A63))/12)</f>
        <v/>
      </c>
      <c r="E63" s="12">
        <f>D63*Plan!$B$29</f>
        <v/>
      </c>
      <c r="F63" s="12">
        <f>IF(AND(Plan!$B$25="cash",Plan!$B$26&lt;&gt;"annual"),Plan!$B$38/12*((1-Plan!$B$40)*SUMIFS($C$5:$C$64,$A$5:$A$64,"&gt;="&amp;(A63-11),$A$5:$A$64,"&lt;="&amp;A63)+Plan!$B$40*SUMIFS($C$5:$C$64,$A$5:$A$64,"&gt;="&amp;(A63-Plan!$B$39+1),$A$5:$A$64,"&lt;="&amp;A63)),Plan!$B$38*C63)</f>
        <v/>
      </c>
      <c r="G63" s="12">
        <f>IF(Plan!$B$39&gt;0,IF(AND(Plan!$B$25="cash",Plan!$B$26&lt;&gt;"annual"),Plan!$B$38*SUMIFS($C$5:$C$64,$A$5:$A$64,A63-Plan!$B$39)/12*Plan!$B$40*Plan!$B$39,Plan!$B$38*SUMIFS($C$5:$C$64,$A$5:$A$64,A63-Plan!$B$39)*Plan!$B$40),0)</f>
        <v/>
      </c>
      <c r="H63" s="12">
        <f>(Plan!$B$5/12+F63-G63)*(1+Plan!$B$30)</f>
        <v/>
      </c>
      <c r="I63" s="12">
        <f>E63-H63</f>
        <v/>
      </c>
      <c r="J63" s="12">
        <f>J62+I63</f>
        <v/>
      </c>
      <c r="K63">
        <f>IF(J63&gt;=0,A63,1E9)</f>
        <v/>
      </c>
    </row>
    <row r="64">
      <c r="A64" t="n">
        <v>60</v>
      </c>
      <c r="B64" s="17" t="n">
        <v>1</v>
      </c>
      <c r="C64" s="12">
        <f>Plan!$B$7/12*B64*Plan!$B$8</f>
        <v/>
      </c>
      <c r="D64" s="12">
        <f>IF(Plan!$B$26="annual",(1-Plan!$B$40)*SUMPRODUCT(($A$5:$A$64&lt;=A64)*(MOD(A64-$A$5:$A$64,12)=0)*$C$5:$C$64)+Plan!$B$40*C64,((1-Plan!$B$40)*SUMIFS($C$5:$C$64,$A$5:$A$64,"&lt;="&amp;A64)+Plan!$B$40*SUMIFS($C$5:$C$64,$A$5:$A$64,"&gt;="&amp;(A64-Plan!$B$39+1),$A$5:$A$64,"&lt;="&amp;A64))/12)</f>
        <v/>
      </c>
      <c r="E64" s="12">
        <f>D64*Plan!$B$29</f>
        <v/>
      </c>
      <c r="F64" s="12">
        <f>IF(AND(Plan!$B$25="cash",Plan!$B$26&lt;&gt;"annual"),Plan!$B$38/12*((1-Plan!$B$40)*SUMIFS($C$5:$C$64,$A$5:$A$64,"&gt;="&amp;(A64-11),$A$5:$A$64,"&lt;="&amp;A64)+Plan!$B$40*SUMIFS($C$5:$C$64,$A$5:$A$64,"&gt;="&amp;(A64-Plan!$B$39+1),$A$5:$A$64,"&lt;="&amp;A64)),Plan!$B$38*C64)</f>
        <v/>
      </c>
      <c r="G64" s="12">
        <f>IF(Plan!$B$39&gt;0,IF(AND(Plan!$B$25="cash",Plan!$B$26&lt;&gt;"annual"),Plan!$B$38*SUMIFS($C$5:$C$64,$A$5:$A$64,A64-Plan!$B$39)/12*Plan!$B$40*Plan!$B$39,Plan!$B$38*SUMIFS($C$5:$C$64,$A$5:$A$64,A64-Plan!$B$39)*Plan!$B$40),0)</f>
        <v/>
      </c>
      <c r="H64" s="12">
        <f>(Plan!$B$5/12+F64-G64)*(1+Plan!$B$30)</f>
        <v/>
      </c>
      <c r="I64" s="12">
        <f>E64-H64</f>
        <v/>
      </c>
      <c r="J64" s="12">
        <f>J63+I64</f>
        <v/>
      </c>
      <c r="K64">
        <f>IF(J64&gt;=0,A64,1E9)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2" t="inlineStr">
        <is>
          <t>Free template by Adlega</t>
        </is>
      </c>
    </row>
    <row r="2">
      <c r="A2" s="23" t="inlineStr">
        <is>
          <t>Live sales commission calculator: https://adlega.com/blog/tools/sales-commission/</t>
        </is>
      </c>
    </row>
    <row r="3">
      <c r="A3" s="23" t="inlineStr">
        <is>
          <t>Version: October 2026</t>
        </is>
      </c>
    </row>
    <row r="4">
      <c r="A4" s="23" t="inlineStr"/>
    </row>
    <row r="5">
      <c r="A5" s="23" t="inlineStr">
        <is>
          <t>This template is a planning aid, not advice. It is not tax, legal, payroll, accounting or investment advice; check the numbers with your own advisers before you act on them.</t>
        </is>
      </c>
    </row>
    <row r="6">
      <c r="A6" s="23" t="inlineStr">
        <is>
          <t>Blue cells on a light yellow background are inputs. Every other number is a live formula that mirrors the web calculator.</t>
        </is>
      </c>
    </row>
    <row r="7">
      <c r="A7" s="23" t="inlineStr"/>
    </row>
    <row r="8">
      <c r="A8" s="23" t="inlineStr">
        <is>
          <t>Commission rate = (OTE - base) / annual quota. Accelerators multiply the rate for the attainment inside each tier, like tax brackets; a decelerator multiplies it below its threshold.</t>
        </is>
      </c>
    </row>
    <row r="9">
      <c r="A9" s="23" t="inlineStr">
        <is>
          <t>Ramp: in months 1-6 the rep carries the ramp % of a full monthly quota. New ARR booked each month = quota / 12 x ramp % x attainment.</t>
        </is>
      </c>
    </row>
    <row r="10">
      <c r="A10" s="23" t="inlineStr">
        <is>
          <t>Cash: monthly billing collects ARR / 12 a month from the booking month; annual prepaid collects the full ARR at booking and every 12 months. Commission paid on cash follows first-year cash.</t>
        </is>
      </c>
    </row>
    <row r="11">
      <c r="A11" s="23" t="inlineStr">
        <is>
          <t>Clawback: the cancelling share of each month's new ARR stops billing after the window and the commission paid on it is recovered that month.</t>
        </is>
      </c>
    </row>
    <row r="12">
      <c r="A12" s="23" t="inlineStr">
        <is>
          <t>The monthly model applies the year's effective rate to each month's bookings, as if accelerators were trued up across the year. One rep, new-business ARR only, no draw or ramp guarantee.</t>
        </is>
      </c>
    </row>
    <row r="13">
      <c r="A13" s="23" t="inlineStr">
        <is>
          <t>Default quota ($875K, SaaS median) and OTE ($200K, all-company median) are from the Bridge Group 2026 AE Models, Motions and Metrics report. Pay mix, tiers, ramp and margin are illustrative.</t>
        </is>
      </c>
    </row>
    <row r="14">
      <c r="A14" s="23" t="inlineStr"/>
    </row>
    <row r="15">
      <c r="A15" s="23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SaaS Sales Commission and Quota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2026-10-22T21:19:14Z</dcterms:modified>
  <cp:lastModifiedBy>Adlega</cp:lastModifiedBy>
</cp:coreProperties>
</file>